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saprahotmail-my.sharepoint.com/personal/rishi_learndatainsights_com/Documents/02-MY COMMUNITY CONTENT/2-0 Community Events/2026/05_May/Accountex/Demos/Salary Accruals/"/>
    </mc:Choice>
  </mc:AlternateContent>
  <xr:revisionPtr revIDLastSave="1675" documentId="8_{B7A6FB36-D167-FB46-ABDD-649F70EC9253}" xr6:coauthVersionLast="47" xr6:coauthVersionMax="47" xr10:uidLastSave="{52C53EFA-4FE0-4094-85C9-3F3A7C5364A4}"/>
  <bookViews>
    <workbookView xWindow="-120" yWindow="-120" windowWidth="19440" windowHeight="10320" firstSheet="3" activeTab="7" xr2:uid="{AD11321E-064B-E746-8346-F7462AC7A756}"/>
  </bookViews>
  <sheets>
    <sheet name="Implementation Plan" sheetId="6" r:id="rId1"/>
    <sheet name="General Ledger" sheetId="1" r:id="rId2"/>
    <sheet name="Bank Statement" sheetId="2" r:id="rId3"/>
    <sheet name="Staff List" sheetId="4" r:id="rId4"/>
    <sheet name="Calcs" sheetId="10" r:id="rId5"/>
    <sheet name="Journal" sheetId="11" r:id="rId6"/>
    <sheet name="Claude Log" sheetId="7" r:id="rId7"/>
    <sheet name="Calcs_Original" sheetId="5" r:id="rId8"/>
    <sheet name="Journal_Original" sheetId="3" r:id="rId9"/>
  </sheets>
  <definedNames>
    <definedName name="_xlnm._FilterDatabase" localSheetId="1" hidden="1">'General Ledger'!$A$1:$G$5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02" i="11" l="1"/>
  <c r="F401" i="11"/>
  <c r="F405" i="11"/>
  <c r="F403" i="11"/>
  <c r="F404" i="11" s="1"/>
  <c r="A302" i="11" a="1"/>
  <c r="A302" i="11" s="1"/>
  <c r="A202" i="11" a="1"/>
  <c r="A202" i="11" s="1"/>
  <c r="A102" i="11" a="1"/>
  <c r="A102" i="11" s="1"/>
  <c r="A6" i="11" a="1"/>
  <c r="A6" i="11" s="1"/>
  <c r="H6" i="11" a="1"/>
  <c r="H6" i="11" s="1"/>
  <c r="G6" i="11" a="1"/>
  <c r="G6" i="11" s="1"/>
  <c r="F6" i="11" a="1"/>
  <c r="F6" i="11" s="1"/>
  <c r="E6" i="11" a="1"/>
  <c r="E6" i="11" s="1"/>
  <c r="D6" i="11" a="1"/>
  <c r="D6" i="11" s="1"/>
  <c r="C6" i="11" a="1"/>
  <c r="C6" i="11" s="1"/>
  <c r="B6" i="11" a="1"/>
  <c r="B6" i="11" s="1"/>
  <c r="Y9" i="10" a="1"/>
  <c r="Y9" i="10" s="1"/>
  <c r="Y8" i="10" a="1"/>
  <c r="Y8" i="10" s="1"/>
  <c r="Q9" i="10" a="1"/>
  <c r="Q9" i="10" s="1"/>
  <c r="Q8" i="10" a="1"/>
  <c r="Q8" i="10" s="1"/>
  <c r="I9" i="10" a="1"/>
  <c r="I9" i="10" s="1"/>
  <c r="I8" i="10" a="1"/>
  <c r="I8" i="10" s="1"/>
  <c r="G9" i="10" a="1"/>
  <c r="G9" i="10" s="1"/>
  <c r="F9" i="10" a="1"/>
  <c r="F9" i="10" s="1"/>
  <c r="E9" i="10" a="1"/>
  <c r="E9" i="10" s="1"/>
  <c r="D9" i="10" a="1"/>
  <c r="D9" i="10" s="1"/>
  <c r="C9" i="10" a="1"/>
  <c r="C9" i="10" s="1"/>
  <c r="B9" i="10" a="1"/>
  <c r="B9" i="10" s="1"/>
  <c r="A9" i="10" a="1"/>
  <c r="A9" i="10" s="1"/>
  <c r="B6" i="10"/>
  <c r="B5" i="10" a="1"/>
  <c r="B5" i="10" s="1"/>
  <c r="B4" i="10" a="1"/>
  <c r="B4" i="10" s="1"/>
  <c r="I29" i="3"/>
  <c r="G29" i="3" s="1"/>
  <c r="I28" i="3"/>
  <c r="G28" i="3" s="1"/>
  <c r="I27" i="3"/>
  <c r="G27" i="3" s="1"/>
  <c r="I26" i="3"/>
  <c r="G26" i="3" s="1"/>
  <c r="I25" i="3"/>
  <c r="E25" i="3" s="1"/>
  <c r="I24" i="3"/>
  <c r="F24" i="3" s="1"/>
  <c r="I23" i="3"/>
  <c r="F23" i="3" s="1"/>
  <c r="I22" i="3"/>
  <c r="G22" i="3" s="1"/>
  <c r="I9" i="3"/>
  <c r="G9" i="3" s="1"/>
  <c r="I10" i="3"/>
  <c r="G10" i="3" s="1"/>
  <c r="I11" i="3"/>
  <c r="G11" i="3" s="1"/>
  <c r="I12" i="3"/>
  <c r="G12" i="3" s="1"/>
  <c r="I13" i="3"/>
  <c r="D13" i="3" s="1"/>
  <c r="I14" i="3"/>
  <c r="D14" i="3" s="1"/>
  <c r="I15" i="3"/>
  <c r="D15" i="3" s="1"/>
  <c r="I8" i="3"/>
  <c r="E8" i="3" s="1"/>
  <c r="H5" i="5"/>
  <c r="H4" i="5"/>
  <c r="A4" i="5" a="1"/>
  <c r="A4" i="5" s="1"/>
  <c r="Q4" i="5" s="1"/>
  <c r="C7" i="2"/>
  <c r="C8" i="2" s="1"/>
  <c r="C9" i="2" s="1"/>
  <c r="C3" i="2"/>
  <c r="C4" i="2" s="1"/>
  <c r="C5" i="2" s="1"/>
  <c r="G32" i="3" l="1"/>
  <c r="D8" i="3"/>
  <c r="E12" i="3"/>
  <c r="F8" i="3"/>
  <c r="G8" i="3"/>
  <c r="D22" i="3"/>
  <c r="E22" i="3"/>
  <c r="D12" i="3"/>
  <c r="F15" i="3"/>
  <c r="G15" i="3"/>
  <c r="D29" i="3"/>
  <c r="E29" i="3"/>
  <c r="E15" i="3"/>
  <c r="E11" i="3"/>
  <c r="F14" i="3"/>
  <c r="G14" i="3"/>
  <c r="D28" i="3"/>
  <c r="E28" i="3"/>
  <c r="F22" i="3"/>
  <c r="D11" i="3"/>
  <c r="F13" i="3"/>
  <c r="G13" i="3"/>
  <c r="D27" i="3"/>
  <c r="E27" i="3"/>
  <c r="F28" i="3"/>
  <c r="E14" i="3"/>
  <c r="E10" i="3"/>
  <c r="F12" i="3"/>
  <c r="D26" i="3"/>
  <c r="E26" i="3"/>
  <c r="D10" i="3"/>
  <c r="F11" i="3"/>
  <c r="D25" i="3"/>
  <c r="G24" i="3"/>
  <c r="E13" i="3"/>
  <c r="E9" i="3"/>
  <c r="F10" i="3"/>
  <c r="D24" i="3"/>
  <c r="E24" i="3"/>
  <c r="D9" i="3"/>
  <c r="F9" i="3"/>
  <c r="D23" i="3"/>
  <c r="E23" i="3"/>
  <c r="F27" i="3"/>
  <c r="F25" i="3"/>
  <c r="G23" i="3"/>
  <c r="F29" i="3"/>
  <c r="G25" i="3"/>
  <c r="F26" i="3"/>
  <c r="Q5" i="5"/>
  <c r="N4" i="5"/>
  <c r="O4" i="5"/>
  <c r="P4" i="5"/>
  <c r="N5" i="5"/>
  <c r="O5" i="5"/>
  <c r="P5" i="5"/>
  <c r="J4" i="5"/>
  <c r="K4" i="5"/>
  <c r="L4" i="5"/>
  <c r="V4" i="5" s="1"/>
  <c r="J5" i="5"/>
  <c r="I4" i="5"/>
  <c r="K5" i="5"/>
  <c r="I5" i="5"/>
  <c r="L5" i="5"/>
  <c r="F32" i="3" l="1"/>
  <c r="H32" i="3" s="1"/>
  <c r="T5" i="5"/>
  <c r="V5" i="5"/>
  <c r="U5" i="5"/>
  <c r="S4" i="5"/>
  <c r="T4" i="5"/>
  <c r="S5" i="5"/>
  <c r="U4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<sst xmlns="http://schemas.openxmlformats.org/spreadsheetml/2006/main" count="402" uniqueCount="258">
  <si>
    <t>Period</t>
  </si>
  <si>
    <t>Posted Date</t>
  </si>
  <si>
    <t xml:space="preserve">Transaction Source </t>
  </si>
  <si>
    <t>##</t>
  </si>
  <si>
    <t>5000 - Salary and wages</t>
  </si>
  <si>
    <t>Salary for Financial Controller Fixed Fee contract</t>
  </si>
  <si>
    <t>PR</t>
  </si>
  <si>
    <t>Bank Account</t>
  </si>
  <si>
    <t>Posted</t>
  </si>
  <si>
    <t>Text</t>
  </si>
  <si>
    <t>Currency</t>
  </si>
  <si>
    <t>Bank account amt</t>
  </si>
  <si>
    <t>Barclays Business Bank Account</t>
  </si>
  <si>
    <t>Jul/2025</t>
  </si>
  <si>
    <t>GBP</t>
  </si>
  <si>
    <t>Aug/2025</t>
  </si>
  <si>
    <t>Sep/2025</t>
  </si>
  <si>
    <t>Oct/2025</t>
  </si>
  <si>
    <t>Company</t>
  </si>
  <si>
    <t>Cost Centre</t>
  </si>
  <si>
    <t>Account</t>
  </si>
  <si>
    <t>Account Description</t>
  </si>
  <si>
    <t>Debit</t>
  </si>
  <si>
    <t>Credit</t>
  </si>
  <si>
    <t>Accrued Salary Cost</t>
  </si>
  <si>
    <t>Description</t>
  </si>
  <si>
    <t>Amount</t>
  </si>
  <si>
    <t>Role</t>
  </si>
  <si>
    <t>Financial Controller</t>
  </si>
  <si>
    <t>Company Code</t>
  </si>
  <si>
    <t>Salary for Financial Analyst Fixed Fee contract</t>
  </si>
  <si>
    <t>1000-Marketing Expenses</t>
  </si>
  <si>
    <t>Cost for LinkedIn Sales Navigator</t>
  </si>
  <si>
    <t>Financial Analyst</t>
  </si>
  <si>
    <t>Personnel No</t>
  </si>
  <si>
    <t>First Name</t>
  </si>
  <si>
    <t>Surname</t>
  </si>
  <si>
    <t>John</t>
  </si>
  <si>
    <t>Smith</t>
  </si>
  <si>
    <t>Jane</t>
  </si>
  <si>
    <t>Meadows</t>
  </si>
  <si>
    <t>Contractual Payment (GL)</t>
  </si>
  <si>
    <t>Actual Payment (Bank)</t>
  </si>
  <si>
    <t>Difference</t>
  </si>
  <si>
    <t>Salary Payment-Jane Meadows</t>
  </si>
  <si>
    <t>Salary Payment-John Smith</t>
  </si>
  <si>
    <t>Journal</t>
  </si>
  <si>
    <t>Workings</t>
  </si>
  <si>
    <t>Combo</t>
  </si>
  <si>
    <t>Total Amount</t>
  </si>
  <si>
    <t>Income Statement Accounts</t>
  </si>
  <si>
    <t>Balance Sheet Accounts</t>
  </si>
  <si>
    <t>Combined</t>
  </si>
  <si>
    <t>Check</t>
  </si>
  <si>
    <t>Salary Overpayment Credit</t>
  </si>
  <si>
    <t>Unpaid Salary Accrual</t>
  </si>
  <si>
    <t>Salary Overpayment Prepayment</t>
  </si>
  <si>
    <t>ß∂</t>
  </si>
  <si>
    <t>Balance check</t>
  </si>
  <si>
    <t>Scenario</t>
  </si>
  <si>
    <t>Dr 30910 Accrued Salary Cost</t>
  </si>
  <si>
    <t>Cr 40722 Unpaid Salary Accrual</t>
  </si>
  <si>
    <t>Cr 20100 Salary Overpayment Credit</t>
  </si>
  <si>
    <t>Dr 50102 Salary Overpayment Prepayment</t>
  </si>
  <si>
    <t>Turn</t>
  </si>
  <si>
    <t>Date</t>
  </si>
  <si>
    <t>User Request</t>
  </si>
  <si>
    <t>Action Taken</t>
  </si>
  <si>
    <t>Details</t>
  </si>
  <si>
    <t>Outcome</t>
  </si>
  <si>
    <t>Reviewed the salary accruals process script and asked for an implementation plan (in a new sheet) for building the Calcs and Journal sheets to produce salary accrual journals from the GL and Bank Statement. To be validated before any build work begins.</t>
  </si>
  <si>
    <t>Created "Implementation Plan" sheet (positioned first) outlining the build for Calcs and Journal.</t>
  </si>
  <si>
    <t>Plan covers: inputs (tblStaffList, tblGeneralLedger, tblBankStatement); Calcs build (cols A-F staff ref, H combo key, I-L GL SUMIFS by role, N-Q Bank SUMIFS by name, S-V differences); Journal build (unique Period x Company x Cost Centre keys, dynamic SUMIFS in col I, IF-driven IS section with 30910/20100, mirror BS section with 40722/50102, combined block, balance check). 5 open questions for the user (period range, output location rows 55-93 vs replacing 1-51, zero-diff handling, role uniqueness, posting period format).</t>
  </si>
  <si>
    <t>Plan in "Implementation Plan" sheet. Awaiting confirmation on Q1-Q5 + account mapping before building.</t>
  </si>
  <si>
    <t>First Name, Surname, Personnel No, Role, Company Code, Cost Centre</t>
  </si>
  <si>
    <t>Account, Description, Period, Posted Date, Transaction Source, ##, Amount</t>
  </si>
  <si>
    <t>Bank Account, Period, Posted, Text, Currency, Bank account amt</t>
  </si>
  <si>
    <t>Rule</t>
  </si>
  <si>
    <t>On failure</t>
  </si>
  <si>
    <t>Bank Currency = GBP for every row</t>
  </si>
  <si>
    <t>Abort listing offending rows</t>
  </si>
  <si>
    <t>Formula</t>
  </si>
  <si>
    <t>Income Statement leg</t>
  </si>
  <si>
    <t>Balance Sheet leg</t>
  </si>
  <si>
    <t>Trigger</t>
  </si>
  <si>
    <t>Inputs</t>
  </si>
  <si>
    <t>Outputs</t>
  </si>
  <si>
    <t>Email template</t>
  </si>
  <si>
    <t>Idempotency</t>
  </si>
  <si>
    <t>Config</t>
  </si>
  <si>
    <t>Out of scope</t>
  </si>
  <si>
    <t>Confirmed answers to Q1-Q5 (dynamic periods, new sheets, include zero diffs, roles unique, month-end dates) and asked me to update the plan with enough detail that it can be turned into a custom skill which takes 3 CSVs, builds the journal workbook, and emails it for review.</t>
  </si>
  <si>
    <t>Rewrote "Implementation Plan" sheet (v2) with confirmed decisions, expanded validation rules, full Calcs and Journal build specs, account mapping table, worked example, and a dedicated skill specification section.</t>
  </si>
  <si>
    <t>New sections: §0 Confirmed decisions, §2 Inputs with required columns, §3 Pre-flight validations V1-V7 (header, role/personnel uniqueness, GL/Bank match, period coverage, currency=GBP), §4 Calcs spec (tblStaffList ref, combo key, dynamic GL/Bank/Diff blocks with N period cols), §5 Journal spec (driver -&gt; IS leg -&gt; BS leg -&gt; combined -&gt; balance check), §6 locked account mapping incl zero-diff rule (Dr 0 to 30910 / 50102), §7 worked example reproducing £29k/£29k, §8 skill spec (name salary-accruals-journal, inputs, outputs, 10-step process, error handling, email template, idempotency, config, out of scope), §9 build sequence.</t>
  </si>
  <si>
    <t>Plan v2 written. Awaiting approval to build the new Calcs and Journal sheets per §9.</t>
  </si>
  <si>
    <t>Difference (GL − Bank)</t>
  </si>
  <si>
    <t>Driver block (Period × Staff)</t>
  </si>
  <si>
    <t>Diff</t>
  </si>
  <si>
    <t>Combined journal (posting-ready)</t>
  </si>
  <si>
    <t>Total Debit</t>
  </si>
  <si>
    <t>Total Credit</t>
  </si>
  <si>
    <t>Status</t>
  </si>
  <si>
    <t>Approved the v2 plan; asked me to proceed with the build.</t>
  </si>
  <si>
    <t>Built new Calcs and Journal sheets per §9; archived the originals as "(example)".</t>
  </si>
  <si>
    <t>Calcs (new): rows 1-2 title, row 3 group banners, row 4 GL period serials (Jul-Oct 2025) formatted Mmm/yyyy, row 5 staff headers + period text labels, rows 6-7 staff data via INDEX(tblStaffList[col],ROW()-5) with SUMIFS for GL by Role and Bank by FirstName Surname, Diff = GL - Bank. Journal (new): driver block A5:H13 (8 rows = 2 staff x 4 periods, Period = EOMONTH of GL serial); IS leg A16:G24 (Account IF Diff&gt;=0 then 30910 else 20100, Debit MAX(Diff,0), Credit MAX(-Diff,0)); BS leg A27:G35 (mirror with 40722/50102, debits/credits flipped); Combined block A38:G54 (16 rows live-linked); Balance check at row 57-60 with conditional formatting. Totals: Dr 29,000 / Cr 29,000 BALANCED - matches worked example exactly. Applied: blue header bands, currency format £#,##0;(£#,##0);-, dd/mm/yyyy on Period, green/red CF on status.</t>
  </si>
  <si>
    <t>Live formulas in Calcs and Journal sheets. Workbook reproduces the £29k worked example. Originals preserved as "Calcs (example)" and "Journal (example)".</t>
  </si>
  <si>
    <t>Salary Accrual Calcs (dynamic)</t>
  </si>
  <si>
    <t>Period columns are derived from unique GL periods on salary accounts (5000-series). Staff list is tblCalcs (mirrors tblStaffList).</t>
  </si>
  <si>
    <t>Periods (sorted)</t>
  </si>
  <si>
    <t>Period label</t>
  </si>
  <si>
    <t>Period count (N)</t>
  </si>
  <si>
    <t>Salary Accrual Journal (dynamic)</t>
  </si>
  <si>
    <t>Driver → IS leg → BS leg → Combined journal → Balance check. Resizes automatically with staff and periods.</t>
  </si>
  <si>
    <t>Journal lines</t>
  </si>
  <si>
    <t>Asked to convert Calcs to a structured table and make the entire workbook fully dynamic (any number of periods, any number of staff).</t>
  </si>
  <si>
    <t>Rebuilt Calcs and Journal as fully dynamic-array (spilled-formula) sheets.</t>
  </si>
  <si>
    <t>Calcs: B4# spills sorted unique GL periods filtered to 5000-series (TRANSPOSE+SORT+UNIQUE+FILTER), B5# is the Mmm/yyyy labels, B6 is N. Staff details A9# spilled from tblStaffList. GL block at I9# uses MAKEARRAY(rows, cols, LAMBDA SUMIFS); Bank at Q9# same pattern (key on First Surname); Diff at Y9# = I9#-Q9#. All 3 blocks resize automatically. Journal: driver block at A6# uses TOCOL with broadcasting (MAP for EOMONTH, since EOMONTH doesn't accept array natively); H6# = TOCOL(Calcs!Y9#) row-major. IS leg single HSTACK formula at A102; BS leg at A202; Combined VSTACK at A302; balance check at F401:F405 using SUM(INDEX(A302#,,6)) and (..,,7). Anchors spaced 100 rows apart for headroom. Conditional format on status. Note: did NOT wrap staff details in an Excel Table object - dynamic spill is incompatible with ListObject tables, and the spill provides equivalent auto-extension. Verified: Dr 29,000 / Cr 29,000 BALANCED, 16 lines, matches worked example.</t>
  </si>
  <si>
    <t>Fully dynamic. Add a staff row to tblStaffList or a new GL period to the GL table and both Calcs and Journal expand automatically with no manual edits.</t>
  </si>
  <si>
    <t>Salary Accruals — Implementation Plan (v3, as-built)</t>
  </si>
  <si>
    <t>Reflects the dynamic-array build now in the workbook. Skill assumes the three source sheets already exist in the target workbook — no CSVs.</t>
  </si>
  <si>
    <t>0. Confirmed design</t>
  </si>
  <si>
    <t>Periods derived dynamically from GL (5000-series only). Staff derived dynamically from tblStaffList. Zero-difference rows still produce journal lines (Dr 0 to 30910 / Dr 0 to 50102). Roles assumed unique. Posting period = month-end date. Whole workbook resizes automatically when a staff row, a GL period, or a bank period is added.</t>
  </si>
  <si>
    <t>1. Required source workbook layout</t>
  </si>
  <si>
    <t>Sheet</t>
  </si>
  <si>
    <t>Required Excel Table</t>
  </si>
  <si>
    <t>Required columns</t>
  </si>
  <si>
    <t>Staff List</t>
  </si>
  <si>
    <t>tblStaffList</t>
  </si>
  <si>
    <t>General Ledger</t>
  </si>
  <si>
    <t>tblGeneralLedger</t>
  </si>
  <si>
    <t>Bank Statement</t>
  </si>
  <si>
    <t>tblBankStatement</t>
  </si>
  <si>
    <t>Notes</t>
  </si>
  <si>
    <t>2. Pre-flight validation</t>
  </si>
  <si>
    <t>V1 Sheets present</t>
  </si>
  <si>
    <t>Workbook contains "Staff List", "General Ledger", "Bank Statement"</t>
  </si>
  <si>
    <t>Abort</t>
  </si>
  <si>
    <t>V2 Tables present</t>
  </si>
  <si>
    <t>Each sheet contains the required Table (tblStaffList, tblGeneralLedger, tblBankStatement)</t>
  </si>
  <si>
    <t>Abort with the missing table name(s)</t>
  </si>
  <si>
    <t>V3 Headers present</t>
  </si>
  <si>
    <t>All required columns present in each table</t>
  </si>
  <si>
    <t>Abort listing missing columns</t>
  </si>
  <si>
    <t>V4 Role uniqueness</t>
  </si>
  <si>
    <t>COUNTIF(Role)=1 for every staff row</t>
  </si>
  <si>
    <t>Abort listing duplicate roles</t>
  </si>
  <si>
    <t>V5 Personnel No uniqueness</t>
  </si>
  <si>
    <t>COUNTIF(Personnel No)=1</t>
  </si>
  <si>
    <t>Abort listing duplicates</t>
  </si>
  <si>
    <t>V6 GL Role match</t>
  </si>
  <si>
    <t>Each Role appears in at least one GL salary Description</t>
  </si>
  <si>
    <t>Warn (not abort) — staff shows zero GL</t>
  </si>
  <si>
    <t>V7 Bank name match</t>
  </si>
  <si>
    <t>Each "FirstName Surname" appears in at least one Bank Text</t>
  </si>
  <si>
    <t>Warn</t>
  </si>
  <si>
    <t>V8 Period coverage</t>
  </si>
  <si>
    <t>GL salary periods and Bank periods cover the same months</t>
  </si>
  <si>
    <t>Warn listing mismatched months</t>
  </si>
  <si>
    <t>V9 Currency</t>
  </si>
  <si>
    <t>3. Calcs sheet — dynamic build</t>
  </si>
  <si>
    <t>Whole sheet driven by spilled dynamic-array formulas. Adding a staff member or a new GL period auto-extends every downstream block. Layout uses fixed column anchors with cushion for up to 7 periods (gap columns at H, P, X).</t>
  </si>
  <si>
    <t>Anchor</t>
  </si>
  <si>
    <t>Purpose</t>
  </si>
  <si>
    <t>B4#</t>
  </si>
  <si>
    <t>Sorted unique salary periods (date serials)</t>
  </si>
  <si>
    <t>=TRANSPOSE(SORT(UNIQUE(FILTER(tblGeneralLedger[Period],LEFT(tblGeneralLedger[Account],4)="5000"))))</t>
  </si>
  <si>
    <t>B5#</t>
  </si>
  <si>
    <t>Period labels (Mmm/yyyy) — used by Bank SUMIFS</t>
  </si>
  <si>
    <t>=TEXT(B4#,"mmm/yyyy")</t>
  </si>
  <si>
    <t>B6</t>
  </si>
  <si>
    <t>N (period count)</t>
  </si>
  <si>
    <t>=COUNTA(B4#)</t>
  </si>
  <si>
    <t>A9# … G9#</t>
  </si>
  <si>
    <t>Staff details (mirrors tblStaffList) + Combo key in G</t>
  </si>
  <si>
    <t>A9 =tblStaffList[First Name]; B9 =tblStaffList[Surname]; C9 =tblStaffList[Personnel No]; D9 =tblStaffList[Role]; E9 =tblStaffList[Company Code]; F9 =tblStaffList[Cost Centre]; G9 =E9#&amp;"_"&amp;F9#</t>
  </si>
  <si>
    <t>I9#</t>
  </si>
  <si>
    <t>GL block (Staff x Period matrix)</t>
  </si>
  <si>
    <t>=MAKEARRAY(ROWS($D9#),COLUMNS($B$4#),LAMBDA(r,c,SUMIFS(tblGeneralLedger[Amount],tblGeneralLedger[Period],INDEX($B$4#,c),tblGeneralLedger[Description],"*"&amp;INDEX($D9#,r)&amp;"*")))</t>
  </si>
  <si>
    <t>Q9#</t>
  </si>
  <si>
    <t>Bank block (Staff x Period matrix)</t>
  </si>
  <si>
    <t>=MAKEARRAY(ROWS($A9#),COLUMNS($B$5#),LAMBDA(r,c,SUMIFS(tblBankStatement[Bank account amt],tblBankStatement[Period],INDEX($B$5#,c),tblBankStatement[Text],"*"&amp;INDEX($A9#,r)&amp;" "&amp;INDEX($B9#,r)&amp;"*")))</t>
  </si>
  <si>
    <t>Y9#</t>
  </si>
  <si>
    <t>=I9#-Q9#</t>
  </si>
  <si>
    <t>I8# / Q8# / Y8#</t>
  </si>
  <si>
    <t>Period labels above each matrix</t>
  </si>
  <si>
    <t>=$B$5#  (each one)</t>
  </si>
  <si>
    <t>On the "convert to a Table" request</t>
  </si>
  <si>
    <t>Excel disallows spilled dynamic arrays inside a ListObject (Table). The spilled-array design auto-extends in exactly the way a Table would, without the ListObject restriction. If a literal Table object is later required, the alternative is per-row formulas with drag-down (less robust against new staff/periods).</t>
  </si>
  <si>
    <t>4. Journal sheet — dynamic build</t>
  </si>
  <si>
    <t>Each section is one spilled formula at a fixed row anchor with 100-row cushion between sections (handles up to ~95 staff x periods). All sections derive from the driver block.</t>
  </si>
  <si>
    <t>Section</t>
  </si>
  <si>
    <t>A6</t>
  </si>
  <si>
    <t>Driver: Period (month-end)</t>
  </si>
  <si>
    <t>=TOCOL(MAP(Calcs!$B$4#,LAMBDA(p,EOMONTH(p,0)))+0*SEQUENCE(ROWS(Calcs!$A9#)))  — MAP needed because EOMONTH doesn't accept arrays natively</t>
  </si>
  <si>
    <t>Driver: Company Code</t>
  </si>
  <si>
    <t>=TOCOL(Calcs!$E9#+0*SEQUENCE(1,COLUMNS(Calcs!$B$4#)))</t>
  </si>
  <si>
    <t>C6</t>
  </si>
  <si>
    <t>Driver: Cost Centre</t>
  </si>
  <si>
    <t>=TOCOL(Calcs!$F9#+0*SEQUENCE(1,COLUMNS(Calcs!$B$4#)))</t>
  </si>
  <si>
    <t>D6</t>
  </si>
  <si>
    <t>Driver: Personnel No</t>
  </si>
  <si>
    <t>=TOCOL(Calcs!$C9#+0*SEQUENCE(1,COLUMNS(Calcs!$B$4#)))</t>
  </si>
  <si>
    <t>E6 / F6 / G6</t>
  </si>
  <si>
    <t>Driver: Role / First Name / Surname</t>
  </si>
  <si>
    <t>=TOCOL(IF(SEQUENCE(1,COLUMNS(Calcs!$B$4#),1,0)&gt;=0,Calcs!$D9#))   (text-array broadcast trick)</t>
  </si>
  <si>
    <t>H6</t>
  </si>
  <si>
    <t>Driver: Diff (row-major flatten of Calcs Diff matrix)</t>
  </si>
  <si>
    <t>=TOCOL(Calcs!Y9#)</t>
  </si>
  <si>
    <t>A102</t>
  </si>
  <si>
    <t>Income Statement leg (single spilled formula)</t>
  </si>
  <si>
    <t>=HSTACK($A6#,$B6#,$C6#,IF($H6#&gt;=0,30910,20100),IF($H6#&gt;=0,"Accrued Salary Cost","Salary Overpayment Credit"),IF($H6#&gt;0,$H6#,0),IF($H6#&lt;0,-$H6#,0))</t>
  </si>
  <si>
    <t>A202</t>
  </si>
  <si>
    <t>Balance Sheet leg (single spilled formula)</t>
  </si>
  <si>
    <t>=HSTACK($A6#,$B6#,$C6#,IF($H6#&gt;=0,40722,50102),IF($H6#&gt;=0,"Unpaid Salary Accrual","Salary Overpayment Prepayment"),IF($H6#&lt;0,-$H6#,0),IF($H6#&gt;0,$H6#,0))</t>
  </si>
  <si>
    <t>A302</t>
  </si>
  <si>
    <t>Combined posting-ready journal</t>
  </si>
  <si>
    <t>=VSTACK($A102#,$A202#)</t>
  </si>
  <si>
    <t>F401 / F402</t>
  </si>
  <si>
    <t>Total Debit / Total Credit</t>
  </si>
  <si>
    <t>=SUM(INDEX(A302#,,6))  /  =SUM(INDEX(A302#,,7))   (column index, because col-of-spill #-syntax not supported)</t>
  </si>
  <si>
    <t>F403 / F404 / F405</t>
  </si>
  <si>
    <t>Difference / Status / Line count</t>
  </si>
  <si>
    <t>=F401-F402  /  =IF(ABS(F403)&lt;0.005,"BALANCED","OUT OF BALANCE")  /  =ROWS(A302#)</t>
  </si>
  <si>
    <t>5. Account mapping (locked)</t>
  </si>
  <si>
    <t>Diff &gt; 0 (underpayment)</t>
  </si>
  <si>
    <t>Diff &lt; 0 (overpayment)</t>
  </si>
  <si>
    <t>Diff = 0 (no variance)</t>
  </si>
  <si>
    <t>Dr 0 to 30910 (placeholder)</t>
  </si>
  <si>
    <t>Dr 0 to 50102 (placeholder)</t>
  </si>
  <si>
    <t>6. Excel feature dependencies</t>
  </si>
  <si>
    <t>Requires Excel with dynamic arrays + lambda helpers: SORT, UNIQUE, FILTER, SEQUENCE, TOCOL, HSTACK, VSTACK, MAKEARRAY, MAP, LAMBDA. Available in Microsoft 365 / Excel 2024+. Will not work in Excel 2019 or earlier — fall back to drag-down formulas there.</t>
  </si>
  <si>
    <t>7. Worked example (matches workbook)</t>
  </si>
  <si>
    <t>2 staff (John Smith FC 1034/14020, Jane Meadows FA 1020/13010), 4 periods (Jul-Oct 2025). 8 driver rows → 8 IS lines + 8 BS lines = 16 combined lines. Totals Dr £29,000 / Cr £29,000, BALANCED.</t>
  </si>
  <si>
    <t>8. Skill specification — salary-accruals-journal</t>
  </si>
  <si>
    <t>Field</t>
  </si>
  <si>
    <t>Value</t>
  </si>
  <si>
    <t>User runs the skill against a workbook. The workbook MUST already contain the three source sheets and tables (see §1). No CSVs.</t>
  </si>
  <si>
    <t>Target workbook (active context). Optional: recipient email for review, account mapping override, salary GL filter override (default LEFT(Account,4)="5000").</t>
  </si>
  <si>
    <t>Two new sheets added to the same workbook: "Calcs" and "Journal". A "Validation Log" sheet is added if any V-checks warned/failed. Optional email with the workbook attached and a summary block (period range, line count, Dr/Cr totals, balance status, warnings).</t>
  </si>
  <si>
    <t>Process</t>
  </si>
  <si>
    <t>S1 Run validations V1-V9 — abort or warn. S2 Drop existing "Calcs" / "Journal" if present (preserve as "Calcs (example)" / "Journal (example)" if user requests). S3 Add "Calcs" sheet; write the 7 anchor formulas in §3. S4 Add "Journal" sheet; write the 9 anchor formulas in §4. S5 Apply finance formatting (£#,##0;(£#,##0);- on amounts, dd/mm/yyyy on Period, blue/white headers, banded data, conditional format on status). S6 Read totals and produce summary. S7 (Optional) Send email.</t>
  </si>
  <si>
    <t>Re-running on the same source data produces identical Calcs and Journal outputs. Skill must DELETE existing target sheets before recreating to avoid stale spill conflicts.</t>
  </si>
  <si>
    <t>Error handling</t>
  </si>
  <si>
    <t>V1–V5 abort with no sheets written. V6–V9 warn but continue and log to "Validation Log". Any #SPILL!, #REF!, #VALUE! detected post-build → mark sheet header red and surface in summary.</t>
  </si>
  <si>
    <t>Subject: "Salary Accrual Journals — {min_period} to {max_period} — {BALANCED|OUT OF BALANCE|REVIEW REQUIRED}". Body: covering note + Dr/Cr/lines/status table + warning list. Attachment: the workbook.</t>
  </si>
  <si>
    <t>Account mapping (§5) and salary-GL filter (LEFT(Account,4)="5000") are top-of-skill constants. Currency is GBP.</t>
  </si>
  <si>
    <t>Reversal journals next period • multi-currency • ERP posting • reading email replies for approval • building the source tables themselves</t>
  </si>
  <si>
    <t>9. Fragile points to watch</t>
  </si>
  <si>
    <t>(a) GL Description must contain the Role string — if the GL changes how it labels rows, Role match breaks. (b) Bank Text must contain "FirstName Surname" with a single space and exact casing (SUMIFS wildcards are case-insensitive). (c) Bank Period column must be text "Mmm/yyyy". (d) Salary GL identified by Account starting "5000" — change requires updating one constant. (e) Spill anchors at rows 100/200/300/400 give ~95-row headroom; if very large staff lists are expected, increase the gaps.</t>
  </si>
  <si>
    <t>→ Plan v3 reflects the as-built workbook. Approve to proceed to skill packaging.</t>
  </si>
  <si>
    <t>Asked me to update the Implementation Plan to reflect the new dynamic-array build, and to switch the skill spec from CSV inputs to running against a workbook with the three source sheets already present.</t>
  </si>
  <si>
    <t>Rewrote Implementation Plan as v3 (as-built).</t>
  </si>
  <si>
    <t>New plan documents: §1 required workbook layout (Staff List/General Ledger/Bank Statement sheets each with their named Table), §2 nine validations V1-V9, §3 Calcs anchors (B4# periods, B5# labels, B6 N, A9# staff, I9#/Q9#/Y9# matrices via MAKEARRAY+LAMBDA), §4 Journal anchors (A6# driver via TOCOL+broadcasting, A102 IS via HSTACK, A202 BS via HSTACK, A302 Combined via VSTACK, F401-F405 balance check via SUM(INDEX(...,,col))), §5 locked account mapping incl zero-diff convention, §6 Excel feature dependencies (SORT/UNIQUE/FILTER/SEQUENCE/TOCOL/HSTACK/VSTACK/MAKEARRAY/MAP/LAMBDA - M365/2024+ only), §7 worked example reproducing 29k/29k, §8 skill spec (workbook input not CSV, output = new Calcs+Journal+Validation Log sheets, optional email, idempotency, config), §9 fragile points (GL Description must contain Role, Bank Text must contain FirstName Surname, Bank Period must be Mmm/yyyy text, salary filter on Account LEFT 4 = 5000, spill headroom 95 rows). Also explained why staff block is NOT a literal Excel Table (ListObjects forbid spilled arrays).</t>
  </si>
  <si>
    <t>Implementation Plan v3 in place. Awaiting approval to package as a skill.</t>
  </si>
  <si>
    <t>Approved v3 plan and asked me to package the build as a reusable skill.</t>
  </si>
  <si>
    <t>Proposed new skill "salary-accruals-journal" with full SKILL.md (pending user review).</t>
  </si>
  <si>
    <t>Skill includes: trigger phrases, §1 required workbook layout (3 sheets + named tables), §2 9 pre-flight validations V1-V9 (abort vs warn rules), §3 Calcs build with all dynamic-array anchor formulas verbatim (B4# periods, B5# labels, A9# staff, I9#/Q9#/Y9# matrices via MAKEARRAY+LAMBDA), §4 Journal build (driver block A6# with EOMONTH-via-MAP and broadcasting tricks, IS/BS HSTACK at A102/A202, Combined VSTACK at A302, balance check at F401-F405 using SUM(INDEX(...))), §5 Validation Log sheet, §6 verification steps, §7 Excel 2024+/M365 dependency call-out, §8 fragile-point warnings, §9 email handled server-side. Closing-message template included with citations to Calcs and Journal.</t>
  </si>
  <si>
    <t>Skill draft shown to user for review/apply. Awaiting their decision.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</si>
</sst>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0;[Red]\-#,##0.00;"/>
    <numFmt numFmtId="166" formatCode="m/d/yy"/>
    <numFmt numFmtId="167" formatCode="_(* #,##0_);_(* \(#,##0\);_(* &quot;-&quot;??_);_(@_)"/>
    <numFmt numFmtId="168" formatCode="\£#,##0;\(\£#,##0\);\-"/>
  </numFmts>
  <fonts count="22" x14ac:knownFonts="1">
    <font>
      <sz val="12"/>
      <color theme="1"/>
      <name val="Aptos Narrow"/>
      <family val="2"/>
      <scheme val="minor"/>
    </font>
    <font>
      <sz val="11"/>
      <name val="Calibri"/>
      <family val="2"/>
    </font>
    <font>
      <b/>
      <sz val="12"/>
      <color theme="0"/>
      <name val="Calibri"/>
      <family val="2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0" tint="-0.34998626667073579"/>
      <name val="Aptos Narrow"/>
      <family val="2"/>
      <scheme val="minor"/>
    </font>
    <font>
      <b/>
      <sz val="12"/>
      <color theme="0" tint="-0.34998626667073579"/>
      <name val="Aptos Narrow"/>
      <family val="2"/>
      <scheme val="minor"/>
    </font>
    <font>
      <b/>
      <sz val="12"/>
      <color theme="0" tint="-0.34998626667073579"/>
      <name val="Aptos Narrow"/>
      <family val="2"/>
      <scheme val="minor"/>
    </font>
    <font>
      <sz val="12"/>
      <color theme="0" tint="-0.34998626667073579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b/>
      <sz val="16"/>
      <color rgb="FFFFFFFF"/>
      <name val="Aptos Narrow"/>
      <family val="2"/>
      <scheme val="minor"/>
    </font>
    <font>
      <i/>
      <sz val="12"/>
      <color rgb="FF595959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sz val="12"/>
      <color theme="1"/>
      <name val="Consolas"/>
      <family val="3"/>
    </font>
    <font>
      <b/>
      <sz val="14"/>
      <color rgb="FFFFFFFF"/>
      <name val="Aptos Narrow"/>
      <family val="2"/>
      <scheme val="minor"/>
    </font>
    <font>
      <b/>
      <sz val="12"/>
      <color rgb="FF9C0006"/>
      <name val="Aptos Narrow"/>
      <family val="2"/>
      <scheme val="minor"/>
    </font>
    <font>
      <b/>
      <sz val="12"/>
      <color theme="1"/>
      <name val="Consolas"/>
      <family val="3"/>
    </font>
  </fonts>
  <fills count="11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249977111117893"/>
        <bgColor theme="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1F386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auto="1"/>
      </bottom>
      <diagonal/>
    </border>
    <border>
      <left/>
      <right style="thin">
        <color theme="4" tint="0.39997558519241921"/>
      </right>
      <top/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77">
    <xf numFmtId="0" fontId="0" fillId="0" borderId="0" xfId="0"/>
    <xf numFmtId="49" fontId="1" fillId="3" borderId="1" xfId="0" applyNumberFormat="1" applyFont="1" applyFill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14" fontId="1" fillId="3" borderId="1" xfId="0" applyNumberFormat="1" applyFont="1" applyFill="1" applyBorder="1" applyAlignment="1">
      <alignment horizontal="left"/>
    </xf>
    <xf numFmtId="14" fontId="1" fillId="3" borderId="1" xfId="0" applyNumberFormat="1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49" fontId="1" fillId="0" borderId="0" xfId="0" applyNumberFormat="1" applyFont="1" applyAlignment="1">
      <alignment horizontal="left"/>
    </xf>
    <xf numFmtId="49" fontId="2" fillId="2" borderId="3" xfId="0" applyNumberFormat="1" applyFont="1" applyFill="1" applyBorder="1"/>
    <xf numFmtId="0" fontId="2" fillId="2" borderId="3" xfId="0" applyFont="1" applyFill="1" applyBorder="1"/>
    <xf numFmtId="166" fontId="2" fillId="2" borderId="3" xfId="0" applyNumberFormat="1" applyFont="1" applyFill="1" applyBorder="1"/>
    <xf numFmtId="40" fontId="2" fillId="2" borderId="4" xfId="0" applyNumberFormat="1" applyFont="1" applyFill="1" applyBorder="1"/>
    <xf numFmtId="0" fontId="6" fillId="4" borderId="6" xfId="0" applyFont="1" applyFill="1" applyBorder="1"/>
    <xf numFmtId="0" fontId="6" fillId="4" borderId="1" xfId="0" applyFont="1" applyFill="1" applyBorder="1"/>
    <xf numFmtId="0" fontId="6" fillId="4" borderId="2" xfId="0" applyFont="1" applyFill="1" applyBorder="1"/>
    <xf numFmtId="0" fontId="0" fillId="5" borderId="0" xfId="0" applyFill="1"/>
    <xf numFmtId="165" fontId="0" fillId="3" borderId="1" xfId="0" applyNumberFormat="1" applyFill="1" applyBorder="1"/>
    <xf numFmtId="165" fontId="0" fillId="0" borderId="1" xfId="0" applyNumberFormat="1" applyBorder="1"/>
    <xf numFmtId="40" fontId="2" fillId="2" borderId="3" xfId="0" applyNumberFormat="1" applyFont="1" applyFill="1" applyBorder="1"/>
    <xf numFmtId="49" fontId="1" fillId="3" borderId="5" xfId="0" applyNumberFormat="1" applyFont="1" applyFill="1" applyBorder="1" applyAlignment="1">
      <alignment horizontal="left"/>
    </xf>
    <xf numFmtId="49" fontId="1" fillId="0" borderId="5" xfId="0" applyNumberFormat="1" applyFont="1" applyBorder="1" applyAlignment="1">
      <alignment horizontal="left"/>
    </xf>
    <xf numFmtId="166" fontId="1" fillId="0" borderId="5" xfId="0" applyNumberFormat="1" applyFont="1" applyBorder="1" applyAlignment="1">
      <alignment horizontal="center"/>
    </xf>
    <xf numFmtId="165" fontId="0" fillId="0" borderId="5" xfId="0" applyNumberFormat="1" applyBorder="1"/>
    <xf numFmtId="0" fontId="0" fillId="3" borderId="2" xfId="0" applyFill="1" applyBorder="1"/>
    <xf numFmtId="0" fontId="0" fillId="0" borderId="2" xfId="0" applyBorder="1"/>
    <xf numFmtId="0" fontId="0" fillId="3" borderId="1" xfId="0" applyFill="1" applyBorder="1"/>
    <xf numFmtId="0" fontId="0" fillId="0" borderId="1" xfId="0" applyBorder="1"/>
    <xf numFmtId="0" fontId="8" fillId="0" borderId="0" xfId="0" applyFont="1"/>
    <xf numFmtId="0" fontId="9" fillId="0" borderId="0" xfId="0" applyFont="1"/>
    <xf numFmtId="0" fontId="6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167" fontId="0" fillId="0" borderId="2" xfId="1" applyNumberFormat="1" applyFont="1" applyBorder="1" applyAlignment="1">
      <alignment horizontal="left" indent="6"/>
    </xf>
    <xf numFmtId="167" fontId="0" fillId="0" borderId="0" xfId="1" applyNumberFormat="1" applyFont="1" applyAlignment="1">
      <alignment horizontal="left" indent="6"/>
    </xf>
    <xf numFmtId="0" fontId="13" fillId="0" borderId="0" xfId="0" applyFont="1"/>
    <xf numFmtId="14" fontId="0" fillId="0" borderId="0" xfId="0" applyNumberFormat="1"/>
    <xf numFmtId="0" fontId="0" fillId="0" borderId="0" xfId="0" applyAlignment="1">
      <alignment wrapText="1"/>
    </xf>
    <xf numFmtId="0" fontId="17" fillId="6" borderId="0" xfId="0" applyFont="1" applyFill="1"/>
    <xf numFmtId="0" fontId="0" fillId="0" borderId="0" xfId="0" applyAlignment="1">
      <alignment vertical="top" wrapText="1"/>
    </xf>
    <xf numFmtId="0" fontId="5" fillId="8" borderId="0" xfId="0" applyFont="1" applyFill="1" applyAlignment="1">
      <alignment vertical="top" wrapText="1"/>
    </xf>
    <xf numFmtId="0" fontId="18" fillId="0" borderId="0" xfId="0" applyFont="1" applyAlignment="1">
      <alignment vertical="top" wrapText="1"/>
    </xf>
    <xf numFmtId="168" fontId="0" fillId="0" borderId="0" xfId="0" applyNumberFormat="1"/>
    <xf numFmtId="0" fontId="5" fillId="9" borderId="0" xfId="0" applyFont="1" applyFill="1"/>
    <xf numFmtId="0" fontId="5" fillId="0" borderId="0" xfId="0" applyFont="1" applyAlignment="1">
      <alignment horizontal="right"/>
    </xf>
    <xf numFmtId="168" fontId="5" fillId="0" borderId="0" xfId="0" applyNumberFormat="1" applyFont="1"/>
    <xf numFmtId="0" fontId="5" fillId="0" borderId="0" xfId="0" applyFont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5" fillId="7" borderId="0" xfId="0" applyFont="1" applyFill="1" applyAlignment="1">
      <alignment horizontal="center"/>
    </xf>
    <xf numFmtId="0" fontId="17" fillId="6" borderId="7" xfId="0" applyFont="1" applyFill="1" applyBorder="1" applyAlignment="1">
      <alignment horizontal="center"/>
    </xf>
    <xf numFmtId="1" fontId="0" fillId="0" borderId="0" xfId="0" applyNumberFormat="1"/>
    <xf numFmtId="14" fontId="5" fillId="0" borderId="0" xfId="0" applyNumberFormat="1" applyFont="1" applyAlignment="1">
      <alignment horizontal="center"/>
    </xf>
    <xf numFmtId="168" fontId="17" fillId="6" borderId="0" xfId="0" applyNumberFormat="1" applyFont="1" applyFill="1"/>
    <xf numFmtId="168" fontId="5" fillId="0" borderId="0" xfId="0" applyNumberFormat="1" applyFont="1" applyAlignment="1">
      <alignment horizontal="center"/>
    </xf>
    <xf numFmtId="0" fontId="18" fillId="0" borderId="0" xfId="0" quotePrefix="1" applyFont="1" applyAlignment="1">
      <alignment vertical="top" wrapText="1"/>
    </xf>
    <xf numFmtId="0" fontId="21" fillId="8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6" fillId="9" borderId="0" xfId="0" applyFont="1" applyFill="1" applyAlignment="1">
      <alignment vertical="top" wrapText="1"/>
    </xf>
    <xf numFmtId="0" fontId="5" fillId="10" borderId="0" xfId="0" applyFont="1" applyFill="1" applyAlignment="1">
      <alignment vertical="top" wrapText="1"/>
    </xf>
    <xf numFmtId="0" fontId="16" fillId="7" borderId="0" xfId="0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0" fontId="14" fillId="6" borderId="0" xfId="0" applyFont="1" applyFill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10" borderId="0" xfId="0" applyFont="1" applyFill="1" applyAlignment="1">
      <alignment vertical="top" wrapText="1"/>
    </xf>
    <xf numFmtId="0" fontId="19" fillId="6" borderId="0" xfId="0" applyFont="1" applyFill="1"/>
    <xf numFmtId="0" fontId="15" fillId="0" borderId="0" xfId="0" applyFont="1"/>
    <xf numFmtId="0" fontId="5" fillId="9" borderId="0" xfId="0" applyFont="1" applyFill="1"/>
    <xf numFmtId="0" fontId="5" fillId="7" borderId="0" xfId="0" applyFont="1" applyFill="1"/>
    <xf numFmtId="0" fontId="5" fillId="10" borderId="0" xfId="0" applyFont="1" applyFill="1"/>
  </cellXfs>
  <cellStyles count="2">
    <cellStyle name="Comma" xfId="1" builtinId="3"/>
    <cellStyle name="Normal" xfId="0" builtinId="0"/>
  </cellStyles>
  <dxfs count="20"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numFmt numFmtId="165" formatCode="#,##0.00;[Red]\-#,##0.00;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6" formatCode="m/d/yy"/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numFmt numFmtId="30" formatCode="@"/>
      <fill>
        <patternFill patternType="solid">
          <fgColor theme="4"/>
          <bgColor theme="4"/>
        </patternFill>
      </fill>
    </dxf>
    <dxf>
      <numFmt numFmtId="167" formatCode="_(* #,##0_);_(* \(#,##0\);_(* &quot;-&quot;??_);_(@_)"/>
      <alignment horizontal="left" vertical="bottom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7CA833-53D7-46AE-8C9A-6353475B2375}" name="tblGeneralLedger" displayName="tblGeneralLedger" ref="A1:G12" totalsRowShown="0" headerRowBorderDxfId="19" tableBorderDxfId="18">
  <autoFilter ref="A1:G12" xr:uid="{F97CA833-53D7-46AE-8C9A-6353475B2375}"/>
  <tableColumns count="7">
    <tableColumn id="1" xr3:uid="{71B0E62B-5A2F-4C8C-8007-0B18C919D3E2}" name="Account" dataDxfId="17"/>
    <tableColumn id="2" xr3:uid="{2B6BCCD5-F799-4C2C-955C-7EB36B46B808}" name="Description" dataDxfId="16"/>
    <tableColumn id="3" xr3:uid="{B132ADB6-6C38-4B6C-A24E-5CEC78C855B4}" name="Period" dataDxfId="15"/>
    <tableColumn id="4" xr3:uid="{5D0589FF-2EA2-4CC3-A6E9-3D2505DC4EFD}" name="Posted Date" dataDxfId="14"/>
    <tableColumn id="5" xr3:uid="{8956A441-A145-42EA-9552-550AC84E8B90}" name="Transaction Source "/>
    <tableColumn id="6" xr3:uid="{0649FCEA-0DE1-4185-9526-3D5BFC1F9A75}" name="##"/>
    <tableColumn id="7" xr3:uid="{03C0E820-6280-4916-87FE-52C3EB452F03}" name="Amount" dataDxfId="13" dataCellStyle="Comm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7982909-F308-4695-801B-8D065F978BEC}" name="tblBankStatement" displayName="tblBankStatement" ref="A1:F9" totalsRowShown="0" headerRowDxfId="12" headerRowBorderDxfId="11" tableBorderDxfId="10" totalsRowBorderDxfId="9">
  <autoFilter ref="A1:F9" xr:uid="{B7982909-F308-4695-801B-8D065F978BEC}"/>
  <tableColumns count="6">
    <tableColumn id="1" xr3:uid="{D4473A6D-F5B6-483D-9764-F243A05641C0}" name="Bank Account" dataDxfId="8"/>
    <tableColumn id="2" xr3:uid="{E7E44989-0AEA-411F-87FA-BC5642213F5E}" name="Period" dataDxfId="7"/>
    <tableColumn id="3" xr3:uid="{AF5E0BB9-56CA-4C52-8EC7-D535CCF1F144}" name="Posted" dataDxfId="6">
      <calculatedColumnFormula>C1+30</calculatedColumnFormula>
    </tableColumn>
    <tableColumn id="4" xr3:uid="{1838B2C2-91D8-409E-AF0D-EB78017A1413}" name="Text" dataDxfId="5"/>
    <tableColumn id="5" xr3:uid="{14E643A7-FEDA-4B5B-88A4-4229F2A1E381}" name="Currency" dataDxfId="4"/>
    <tableColumn id="6" xr3:uid="{F8671753-450E-4DF4-9FE3-8FA398A12AC5}" name="Bank account amt" dataDxfId="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7A6736B-5E60-4E6A-986D-B51A55E1F580}" name="tblStaffList" displayName="tblStaffList" ref="A1:F3" totalsRowShown="0" headerRowDxfId="2">
  <autoFilter ref="A1:F3" xr:uid="{B7A6736B-5E60-4E6A-986D-B51A55E1F580}"/>
  <tableColumns count="6">
    <tableColumn id="1" xr3:uid="{E0FB87D0-A627-4299-9CEF-97CBBC4120FF}" name="First Name"/>
    <tableColumn id="2" xr3:uid="{2F90AD0A-B018-4885-832B-0839494CD308}" name="Surname"/>
    <tableColumn id="3" xr3:uid="{5C3ED05A-09E1-43FA-AE5F-597E3ECB6861}" name="Personnel No"/>
    <tableColumn id="4" xr3:uid="{B74FDF66-F1C5-4CAC-A613-E186F6AE04A6}" name="Role"/>
    <tableColumn id="5" xr3:uid="{0913C090-B1FE-42AB-A29C-CC2B14354A90}" name="Company Code"/>
    <tableColumn id="6" xr3:uid="{6FF48F96-95D2-481A-AE6B-3DEA4E00A9DC}" name="Cost Cent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333643A-BF47-4511-B8E8-B1A8387671C7}">
  <we:reference id="29673e3c-d826-4f00-92ee-162334a52b1a" version="1.0.0.8" store="EXCatalog" storeType="EXCatalog"/>
  <we:alternateReferences>
    <we:reference id="WA200009404" version="1.0.0.8" store="en-US" storeType="OMEX"/>
  </we:alternateReferences>
  <we:properties>
    <we:property name="claude.fileId" value="&quot;97a8a756-ba3b-4035-97ff-66619b8c6fcb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8CCEF-EB67-4886-A62F-F218F30247EB}">
  <dimension ref="A1:C85"/>
  <sheetViews>
    <sheetView topLeftCell="A55" zoomScale="107" zoomScaleNormal="55" workbookViewId="0">
      <selection activeCell="B55" activeCellId="2" sqref="C60 A58:C58 B55"/>
    </sheetView>
  </sheetViews>
  <sheetFormatPr defaultColWidth="8.875" defaultRowHeight="15.75" x14ac:dyDescent="0.25"/>
  <cols>
    <col min="1" max="1" width="30" style="41" customWidth="1"/>
    <col min="2" max="2" width="46.625" style="41" customWidth="1"/>
    <col min="3" max="3" width="76.625" style="41" customWidth="1"/>
  </cols>
  <sheetData>
    <row r="1" spans="1:3" ht="27.95" customHeight="1" x14ac:dyDescent="0.25">
      <c r="A1" s="69" t="s">
        <v>118</v>
      </c>
      <c r="B1" s="69"/>
      <c r="C1" s="69"/>
    </row>
    <row r="2" spans="1:3" ht="31.5" customHeight="1" x14ac:dyDescent="0.25">
      <c r="A2" s="70" t="s">
        <v>119</v>
      </c>
      <c r="B2" s="70"/>
      <c r="C2" s="70"/>
    </row>
    <row r="3" spans="1:3" x14ac:dyDescent="0.25">
      <c r="A3" s="43"/>
      <c r="B3" s="43"/>
      <c r="C3" s="43"/>
    </row>
    <row r="4" spans="1:3" ht="17.25" x14ac:dyDescent="0.25">
      <c r="A4" s="71" t="s">
        <v>120</v>
      </c>
      <c r="B4" s="71"/>
      <c r="C4" s="71"/>
    </row>
    <row r="5" spans="1:3" ht="94.5" customHeight="1" x14ac:dyDescent="0.25">
      <c r="A5" s="63" t="s">
        <v>121</v>
      </c>
      <c r="B5" s="63"/>
      <c r="C5" s="63"/>
    </row>
    <row r="6" spans="1:3" ht="78.75" customHeight="1" x14ac:dyDescent="0.25">
      <c r="A6" s="43"/>
      <c r="B6" s="43"/>
      <c r="C6" s="43"/>
    </row>
    <row r="7" spans="1:3" ht="110.25" customHeight="1" x14ac:dyDescent="0.25">
      <c r="A7" s="66" t="s">
        <v>122</v>
      </c>
      <c r="B7" s="66"/>
      <c r="C7" s="66"/>
    </row>
    <row r="8" spans="1:3" ht="63" customHeight="1" x14ac:dyDescent="0.25">
      <c r="A8" s="44" t="s">
        <v>123</v>
      </c>
      <c r="B8" s="44" t="s">
        <v>124</v>
      </c>
      <c r="C8" s="44" t="s">
        <v>125</v>
      </c>
    </row>
    <row r="9" spans="1:3" ht="63" customHeight="1" x14ac:dyDescent="0.25">
      <c r="A9" s="43" t="s">
        <v>126</v>
      </c>
      <c r="B9" s="43" t="s">
        <v>127</v>
      </c>
      <c r="C9" s="43" t="s">
        <v>74</v>
      </c>
    </row>
    <row r="10" spans="1:3" x14ac:dyDescent="0.25">
      <c r="A10" s="43" t="s">
        <v>128</v>
      </c>
      <c r="B10" s="43" t="s">
        <v>129</v>
      </c>
      <c r="C10" s="43" t="s">
        <v>75</v>
      </c>
    </row>
    <row r="11" spans="1:3" x14ac:dyDescent="0.25">
      <c r="A11" s="43" t="s">
        <v>130</v>
      </c>
      <c r="B11" s="43" t="s">
        <v>131</v>
      </c>
      <c r="C11" s="43" t="s">
        <v>76</v>
      </c>
    </row>
    <row r="12" spans="1:3" ht="141.75" customHeight="1" x14ac:dyDescent="0.25">
      <c r="A12" s="67" t="s">
        <v>132</v>
      </c>
      <c r="B12" s="67"/>
      <c r="C12" s="67"/>
    </row>
    <row r="13" spans="1:3" x14ac:dyDescent="0.25">
      <c r="A13" s="43"/>
      <c r="B13" s="43"/>
      <c r="C13" s="43"/>
    </row>
    <row r="14" spans="1:3" ht="78.75" customHeight="1" x14ac:dyDescent="0.25">
      <c r="A14" s="66" t="s">
        <v>133</v>
      </c>
      <c r="B14" s="66"/>
      <c r="C14" s="66"/>
    </row>
    <row r="15" spans="1:3" x14ac:dyDescent="0.25">
      <c r="A15" s="44" t="s">
        <v>53</v>
      </c>
      <c r="B15" s="44" t="s">
        <v>77</v>
      </c>
      <c r="C15" s="44" t="s">
        <v>78</v>
      </c>
    </row>
    <row r="16" spans="1:3" ht="31.5" x14ac:dyDescent="0.25">
      <c r="A16" s="43" t="s">
        <v>134</v>
      </c>
      <c r="B16" s="43" t="s">
        <v>135</v>
      </c>
      <c r="C16" s="43" t="s">
        <v>136</v>
      </c>
    </row>
    <row r="17" spans="1:3" ht="31.5" x14ac:dyDescent="0.25">
      <c r="A17" s="43" t="s">
        <v>137</v>
      </c>
      <c r="B17" s="43" t="s">
        <v>138</v>
      </c>
      <c r="C17" s="43" t="s">
        <v>139</v>
      </c>
    </row>
    <row r="18" spans="1:3" x14ac:dyDescent="0.25">
      <c r="A18" s="43" t="s">
        <v>140</v>
      </c>
      <c r="B18" s="43" t="s">
        <v>141</v>
      </c>
      <c r="C18" s="43" t="s">
        <v>142</v>
      </c>
    </row>
    <row r="19" spans="1:3" x14ac:dyDescent="0.25">
      <c r="A19" s="43" t="s">
        <v>143</v>
      </c>
      <c r="B19" s="43" t="s">
        <v>144</v>
      </c>
      <c r="C19" s="43" t="s">
        <v>145</v>
      </c>
    </row>
    <row r="20" spans="1:3" ht="34.5" customHeight="1" x14ac:dyDescent="0.25">
      <c r="A20" s="43" t="s">
        <v>146</v>
      </c>
      <c r="B20" s="43" t="s">
        <v>147</v>
      </c>
      <c r="C20" s="43" t="s">
        <v>148</v>
      </c>
    </row>
    <row r="21" spans="1:3" x14ac:dyDescent="0.25">
      <c r="A21" s="43" t="s">
        <v>149</v>
      </c>
      <c r="B21" s="43" t="s">
        <v>150</v>
      </c>
      <c r="C21" s="43" t="s">
        <v>151</v>
      </c>
    </row>
    <row r="22" spans="1:3" ht="31.5" x14ac:dyDescent="0.25">
      <c r="A22" s="43" t="s">
        <v>152</v>
      </c>
      <c r="B22" s="43" t="s">
        <v>153</v>
      </c>
      <c r="C22" s="43" t="s">
        <v>154</v>
      </c>
    </row>
    <row r="23" spans="1:3" ht="94.5" customHeight="1" x14ac:dyDescent="0.25">
      <c r="A23" s="43" t="s">
        <v>155</v>
      </c>
      <c r="B23" s="43" t="s">
        <v>156</v>
      </c>
      <c r="C23" s="43" t="s">
        <v>157</v>
      </c>
    </row>
    <row r="24" spans="1:3" x14ac:dyDescent="0.25">
      <c r="A24" s="43" t="s">
        <v>158</v>
      </c>
      <c r="B24" s="43" t="s">
        <v>79</v>
      </c>
      <c r="C24" s="43" t="s">
        <v>80</v>
      </c>
    </row>
    <row r="25" spans="1:3" x14ac:dyDescent="0.25">
      <c r="A25" s="43"/>
      <c r="B25" s="43"/>
      <c r="C25" s="43"/>
    </row>
    <row r="26" spans="1:3" ht="78.75" customHeight="1" x14ac:dyDescent="0.25">
      <c r="A26" s="66" t="s">
        <v>159</v>
      </c>
      <c r="B26" s="66"/>
      <c r="C26" s="66"/>
    </row>
    <row r="27" spans="1:3" ht="110.25" customHeight="1" x14ac:dyDescent="0.25">
      <c r="A27" s="63" t="s">
        <v>160</v>
      </c>
      <c r="B27" s="63"/>
      <c r="C27" s="63"/>
    </row>
    <row r="28" spans="1:3" x14ac:dyDescent="0.25">
      <c r="A28" s="43"/>
      <c r="B28" s="43"/>
      <c r="C28" s="43"/>
    </row>
    <row r="29" spans="1:3" x14ac:dyDescent="0.25">
      <c r="A29" s="44" t="s">
        <v>161</v>
      </c>
      <c r="B29" s="44" t="s">
        <v>162</v>
      </c>
      <c r="C29" s="44" t="s">
        <v>81</v>
      </c>
    </row>
    <row r="30" spans="1:3" ht="31.5" x14ac:dyDescent="0.25">
      <c r="A30" s="43" t="s">
        <v>163</v>
      </c>
      <c r="B30" s="43" t="s">
        <v>164</v>
      </c>
      <c r="C30" s="61" t="s">
        <v>165</v>
      </c>
    </row>
    <row r="31" spans="1:3" ht="126" customHeight="1" x14ac:dyDescent="0.25">
      <c r="A31" s="43" t="s">
        <v>166</v>
      </c>
      <c r="B31" s="43" t="s">
        <v>167</v>
      </c>
      <c r="C31" s="61" t="s">
        <v>168</v>
      </c>
    </row>
    <row r="32" spans="1:3" x14ac:dyDescent="0.25">
      <c r="A32" s="43" t="s">
        <v>169</v>
      </c>
      <c r="B32" s="43" t="s">
        <v>170</v>
      </c>
      <c r="C32" s="61" t="s">
        <v>171</v>
      </c>
    </row>
    <row r="33" spans="1:3" ht="63" x14ac:dyDescent="0.25">
      <c r="A33" s="43" t="s">
        <v>172</v>
      </c>
      <c r="B33" s="43" t="s">
        <v>173</v>
      </c>
      <c r="C33" s="45" t="s">
        <v>174</v>
      </c>
    </row>
    <row r="34" spans="1:3" ht="47.25" x14ac:dyDescent="0.25">
      <c r="A34" s="43" t="s">
        <v>175</v>
      </c>
      <c r="B34" s="43" t="s">
        <v>176</v>
      </c>
      <c r="C34" s="61" t="s">
        <v>177</v>
      </c>
    </row>
    <row r="35" spans="1:3" ht="63" x14ac:dyDescent="0.25">
      <c r="A35" s="43" t="s">
        <v>178</v>
      </c>
      <c r="B35" s="43" t="s">
        <v>179</v>
      </c>
      <c r="C35" s="61" t="s">
        <v>180</v>
      </c>
    </row>
    <row r="36" spans="1:3" x14ac:dyDescent="0.25">
      <c r="A36" s="43" t="s">
        <v>181</v>
      </c>
      <c r="B36" s="43" t="s">
        <v>95</v>
      </c>
      <c r="C36" s="61" t="s">
        <v>182</v>
      </c>
    </row>
    <row r="37" spans="1:3" x14ac:dyDescent="0.25">
      <c r="A37" s="43" t="s">
        <v>183</v>
      </c>
      <c r="B37" s="43" t="s">
        <v>184</v>
      </c>
      <c r="C37" s="61" t="s">
        <v>185</v>
      </c>
    </row>
    <row r="38" spans="1:3" x14ac:dyDescent="0.25">
      <c r="A38" s="43"/>
      <c r="B38" s="43"/>
      <c r="C38" s="43"/>
    </row>
    <row r="39" spans="1:3" x14ac:dyDescent="0.25">
      <c r="A39" s="68" t="s">
        <v>186</v>
      </c>
      <c r="B39" s="68"/>
      <c r="C39" s="68"/>
    </row>
    <row r="40" spans="1:3" ht="157.5" customHeight="1" x14ac:dyDescent="0.25">
      <c r="A40" s="63" t="s">
        <v>187</v>
      </c>
      <c r="B40" s="63"/>
      <c r="C40" s="63"/>
    </row>
    <row r="41" spans="1:3" x14ac:dyDescent="0.25">
      <c r="A41" s="43"/>
      <c r="B41" s="43"/>
      <c r="C41" s="43"/>
    </row>
    <row r="42" spans="1:3" ht="34.5" customHeight="1" x14ac:dyDescent="0.25">
      <c r="A42" s="66" t="s">
        <v>188</v>
      </c>
      <c r="B42" s="66"/>
      <c r="C42" s="66"/>
    </row>
    <row r="43" spans="1:3" ht="31.5" customHeight="1" x14ac:dyDescent="0.25">
      <c r="A43" s="63" t="s">
        <v>189</v>
      </c>
      <c r="B43" s="63"/>
      <c r="C43" s="63"/>
    </row>
    <row r="44" spans="1:3" ht="63" customHeight="1" x14ac:dyDescent="0.25">
      <c r="A44" s="43"/>
      <c r="B44" s="43"/>
      <c r="C44" s="43"/>
    </row>
    <row r="45" spans="1:3" ht="31.5" customHeight="1" x14ac:dyDescent="0.25">
      <c r="A45" s="44" t="s">
        <v>161</v>
      </c>
      <c r="B45" s="44" t="s">
        <v>190</v>
      </c>
      <c r="C45" s="44" t="s">
        <v>81</v>
      </c>
    </row>
    <row r="46" spans="1:3" ht="78.75" customHeight="1" x14ac:dyDescent="0.25">
      <c r="A46" s="43" t="s">
        <v>191</v>
      </c>
      <c r="B46" s="43" t="s">
        <v>192</v>
      </c>
      <c r="C46" s="61" t="s">
        <v>193</v>
      </c>
    </row>
    <row r="47" spans="1:3" ht="47.25" customHeight="1" x14ac:dyDescent="0.25">
      <c r="A47" s="43" t="s">
        <v>169</v>
      </c>
      <c r="B47" s="43" t="s">
        <v>194</v>
      </c>
      <c r="C47" s="61" t="s">
        <v>195</v>
      </c>
    </row>
    <row r="48" spans="1:3" x14ac:dyDescent="0.25">
      <c r="A48" s="43" t="s">
        <v>196</v>
      </c>
      <c r="B48" s="43" t="s">
        <v>197</v>
      </c>
      <c r="C48" s="61" t="s">
        <v>198</v>
      </c>
    </row>
    <row r="49" spans="1:3" x14ac:dyDescent="0.25">
      <c r="A49" s="43" t="s">
        <v>199</v>
      </c>
      <c r="B49" s="43" t="s">
        <v>200</v>
      </c>
      <c r="C49" s="61" t="s">
        <v>201</v>
      </c>
    </row>
    <row r="50" spans="1:3" ht="47.25" customHeight="1" x14ac:dyDescent="0.25">
      <c r="A50" s="43" t="s">
        <v>202</v>
      </c>
      <c r="B50" s="43" t="s">
        <v>203</v>
      </c>
      <c r="C50" s="61" t="s">
        <v>204</v>
      </c>
    </row>
    <row r="51" spans="1:3" x14ac:dyDescent="0.25">
      <c r="A51" s="43" t="s">
        <v>205</v>
      </c>
      <c r="B51" s="43" t="s">
        <v>206</v>
      </c>
      <c r="C51" s="61" t="s">
        <v>207</v>
      </c>
    </row>
    <row r="52" spans="1:3" ht="31.5" customHeight="1" x14ac:dyDescent="0.25">
      <c r="A52" s="43" t="s">
        <v>208</v>
      </c>
      <c r="B52" s="43" t="s">
        <v>209</v>
      </c>
      <c r="C52" s="61" t="s">
        <v>210</v>
      </c>
    </row>
    <row r="53" spans="1:3" ht="47.25" x14ac:dyDescent="0.25">
      <c r="A53" s="43" t="s">
        <v>211</v>
      </c>
      <c r="B53" s="43" t="s">
        <v>212</v>
      </c>
      <c r="C53" s="61" t="s">
        <v>213</v>
      </c>
    </row>
    <row r="54" spans="1:3" x14ac:dyDescent="0.25">
      <c r="A54" s="43" t="s">
        <v>214</v>
      </c>
      <c r="B54" s="43" t="s">
        <v>215</v>
      </c>
      <c r="C54" s="61" t="s">
        <v>216</v>
      </c>
    </row>
    <row r="55" spans="1:3" ht="31.5" x14ac:dyDescent="0.25">
      <c r="A55" s="43" t="s">
        <v>217</v>
      </c>
      <c r="B55" s="43" t="s">
        <v>218</v>
      </c>
      <c r="C55" s="61" t="s">
        <v>219</v>
      </c>
    </row>
    <row r="56" spans="1:3" ht="31.5" x14ac:dyDescent="0.25">
      <c r="A56" s="43" t="s">
        <v>220</v>
      </c>
      <c r="B56" s="43" t="s">
        <v>221</v>
      </c>
      <c r="C56" s="61" t="s">
        <v>222</v>
      </c>
    </row>
    <row r="57" spans="1:3" x14ac:dyDescent="0.25">
      <c r="A57" s="43"/>
      <c r="B57" s="43"/>
      <c r="C57" s="43"/>
    </row>
    <row r="58" spans="1:3" ht="17.25" x14ac:dyDescent="0.25">
      <c r="A58" s="66" t="s">
        <v>223</v>
      </c>
      <c r="B58" s="66"/>
      <c r="C58" s="66"/>
    </row>
    <row r="59" spans="1:3" x14ac:dyDescent="0.25">
      <c r="A59" s="44" t="s">
        <v>59</v>
      </c>
      <c r="B59" s="44" t="s">
        <v>82</v>
      </c>
      <c r="C59" s="62" t="s">
        <v>83</v>
      </c>
    </row>
    <row r="60" spans="1:3" ht="173.25" customHeight="1" x14ac:dyDescent="0.25">
      <c r="A60" s="43" t="s">
        <v>224</v>
      </c>
      <c r="B60" s="43" t="s">
        <v>60</v>
      </c>
      <c r="C60" s="43" t="s">
        <v>61</v>
      </c>
    </row>
    <row r="61" spans="1:3" x14ac:dyDescent="0.25">
      <c r="A61" s="43" t="s">
        <v>225</v>
      </c>
      <c r="B61" s="43" t="s">
        <v>62</v>
      </c>
      <c r="C61" s="43" t="s">
        <v>63</v>
      </c>
    </row>
    <row r="62" spans="1:3" x14ac:dyDescent="0.25">
      <c r="A62" s="43" t="s">
        <v>226</v>
      </c>
      <c r="B62" s="43" t="s">
        <v>227</v>
      </c>
      <c r="C62" s="43" t="s">
        <v>228</v>
      </c>
    </row>
    <row r="63" spans="1:3" x14ac:dyDescent="0.25">
      <c r="A63" s="43"/>
      <c r="B63" s="43"/>
      <c r="C63" s="43"/>
    </row>
    <row r="64" spans="1:3" ht="47.25" customHeight="1" x14ac:dyDescent="0.25">
      <c r="A64" s="64" t="s">
        <v>229</v>
      </c>
      <c r="B64" s="64"/>
      <c r="C64" s="64"/>
    </row>
    <row r="65" spans="1:3" ht="31.5" customHeight="1" x14ac:dyDescent="0.25">
      <c r="A65" s="63" t="s">
        <v>230</v>
      </c>
      <c r="B65" s="63"/>
      <c r="C65" s="63"/>
    </row>
    <row r="66" spans="1:3" ht="78.75" customHeight="1" x14ac:dyDescent="0.25">
      <c r="A66" s="43"/>
      <c r="B66" s="43"/>
      <c r="C66" s="43"/>
    </row>
    <row r="67" spans="1:3" ht="173.25" customHeight="1" x14ac:dyDescent="0.25">
      <c r="A67" s="66" t="s">
        <v>231</v>
      </c>
      <c r="B67" s="66"/>
      <c r="C67" s="66"/>
    </row>
    <row r="68" spans="1:3" ht="63" customHeight="1" x14ac:dyDescent="0.25">
      <c r="A68" s="63" t="s">
        <v>232</v>
      </c>
      <c r="B68" s="63"/>
      <c r="C68" s="63"/>
    </row>
    <row r="69" spans="1:3" ht="47.25" customHeight="1" x14ac:dyDescent="0.25">
      <c r="A69" s="43"/>
      <c r="B69" s="43"/>
      <c r="C69" s="43"/>
    </row>
    <row r="70" spans="1:3" ht="47.25" customHeight="1" x14ac:dyDescent="0.25">
      <c r="A70" s="64" t="s">
        <v>233</v>
      </c>
      <c r="B70" s="64"/>
      <c r="C70" s="64"/>
    </row>
    <row r="71" spans="1:3" ht="47.25" customHeight="1" x14ac:dyDescent="0.25">
      <c r="A71" s="44" t="s">
        <v>234</v>
      </c>
      <c r="B71" s="44" t="s">
        <v>235</v>
      </c>
      <c r="C71" s="43"/>
    </row>
    <row r="72" spans="1:3" ht="31.5" customHeight="1" x14ac:dyDescent="0.25">
      <c r="A72" s="43" t="s">
        <v>84</v>
      </c>
      <c r="B72" s="63" t="s">
        <v>236</v>
      </c>
      <c r="C72" s="63"/>
    </row>
    <row r="73" spans="1:3" ht="47.25" customHeight="1" x14ac:dyDescent="0.25">
      <c r="A73" s="43" t="s">
        <v>85</v>
      </c>
      <c r="B73" s="63" t="s">
        <v>237</v>
      </c>
      <c r="C73" s="63"/>
    </row>
    <row r="74" spans="1:3" ht="78.75" customHeight="1" x14ac:dyDescent="0.25">
      <c r="A74" s="43" t="s">
        <v>86</v>
      </c>
      <c r="B74" s="63" t="s">
        <v>238</v>
      </c>
      <c r="C74" s="63"/>
    </row>
    <row r="75" spans="1:3" ht="189" customHeight="1" x14ac:dyDescent="0.25">
      <c r="A75" s="43" t="s">
        <v>239</v>
      </c>
      <c r="B75" s="63" t="s">
        <v>240</v>
      </c>
      <c r="C75" s="63"/>
    </row>
    <row r="76" spans="1:3" ht="63" customHeight="1" x14ac:dyDescent="0.25">
      <c r="A76" s="43" t="s">
        <v>88</v>
      </c>
      <c r="B76" s="63" t="s">
        <v>241</v>
      </c>
      <c r="C76" s="63"/>
    </row>
    <row r="77" spans="1:3" ht="63" customHeight="1" x14ac:dyDescent="0.25">
      <c r="A77" s="43" t="s">
        <v>242</v>
      </c>
      <c r="B77" s="63" t="s">
        <v>243</v>
      </c>
      <c r="C77" s="63"/>
    </row>
    <row r="78" spans="1:3" ht="78.75" customHeight="1" x14ac:dyDescent="0.25">
      <c r="A78" s="43" t="s">
        <v>87</v>
      </c>
      <c r="B78" s="63" t="s">
        <v>244</v>
      </c>
      <c r="C78" s="63"/>
    </row>
    <row r="79" spans="1:3" ht="47.25" customHeight="1" x14ac:dyDescent="0.25">
      <c r="A79" s="43" t="s">
        <v>89</v>
      </c>
      <c r="B79" s="63" t="s">
        <v>245</v>
      </c>
      <c r="C79" s="63"/>
    </row>
    <row r="80" spans="1:3" ht="47.25" customHeight="1" x14ac:dyDescent="0.25">
      <c r="A80" s="43" t="s">
        <v>90</v>
      </c>
      <c r="B80" s="63" t="s">
        <v>246</v>
      </c>
      <c r="C80" s="63"/>
    </row>
    <row r="81" spans="1:3" x14ac:dyDescent="0.25">
      <c r="A81" s="43"/>
      <c r="B81" s="43"/>
      <c r="C81" s="43"/>
    </row>
    <row r="82" spans="1:3" ht="17.25" x14ac:dyDescent="0.25">
      <c r="A82" s="64" t="s">
        <v>247</v>
      </c>
      <c r="B82" s="64"/>
      <c r="C82" s="64"/>
    </row>
    <row r="83" spans="1:3" ht="252" customHeight="1" x14ac:dyDescent="0.25">
      <c r="A83" s="63" t="s">
        <v>248</v>
      </c>
      <c r="B83" s="63"/>
      <c r="C83" s="63"/>
    </row>
    <row r="84" spans="1:3" x14ac:dyDescent="0.25">
      <c r="A84" s="43"/>
      <c r="B84" s="43"/>
      <c r="C84" s="43"/>
    </row>
    <row r="85" spans="1:3" ht="47.25" customHeight="1" x14ac:dyDescent="0.25">
      <c r="A85" s="65" t="s">
        <v>249</v>
      </c>
      <c r="B85" s="65"/>
      <c r="C85" s="65"/>
    </row>
  </sheetData>
  <mergeCells count="31">
    <mergeCell ref="A1:C1"/>
    <mergeCell ref="A2:C2"/>
    <mergeCell ref="A4:C4"/>
    <mergeCell ref="A5:C5"/>
    <mergeCell ref="A7:C7"/>
    <mergeCell ref="A67:C67"/>
    <mergeCell ref="B72:C72"/>
    <mergeCell ref="A68:C68"/>
    <mergeCell ref="A70:C70"/>
    <mergeCell ref="A12:C12"/>
    <mergeCell ref="A42:C42"/>
    <mergeCell ref="A43:C43"/>
    <mergeCell ref="A14:C14"/>
    <mergeCell ref="A26:C26"/>
    <mergeCell ref="A27:C27"/>
    <mergeCell ref="A39:C39"/>
    <mergeCell ref="A40:C40"/>
    <mergeCell ref="A58:C58"/>
    <mergeCell ref="A64:C64"/>
    <mergeCell ref="A65:C65"/>
    <mergeCell ref="B80:C80"/>
    <mergeCell ref="A82:C82"/>
    <mergeCell ref="A83:C83"/>
    <mergeCell ref="A85:C85"/>
    <mergeCell ref="B73:C73"/>
    <mergeCell ref="B74:C74"/>
    <mergeCell ref="B75:C75"/>
    <mergeCell ref="B76:C76"/>
    <mergeCell ref="B77:C77"/>
    <mergeCell ref="B78:C78"/>
    <mergeCell ref="B79:C7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767B7-C883-F446-A63D-1BDC48FFDA4D}">
  <dimension ref="A1:G12"/>
  <sheetViews>
    <sheetView workbookViewId="0">
      <selection activeCell="G12" sqref="G12"/>
    </sheetView>
  </sheetViews>
  <sheetFormatPr defaultColWidth="11" defaultRowHeight="15.75" x14ac:dyDescent="0.25"/>
  <cols>
    <col min="1" max="1" width="19" bestFit="1" customWidth="1"/>
    <col min="2" max="2" width="45.125" bestFit="1" customWidth="1"/>
    <col min="4" max="4" width="13.125" customWidth="1"/>
    <col min="5" max="5" width="19.625" customWidth="1"/>
    <col min="7" max="7" width="16.625" bestFit="1" customWidth="1"/>
  </cols>
  <sheetData>
    <row r="1" spans="1:7" x14ac:dyDescent="0.25">
      <c r="A1" s="12" t="s">
        <v>20</v>
      </c>
      <c r="B1" s="12" t="s">
        <v>25</v>
      </c>
      <c r="C1" s="13" t="s">
        <v>0</v>
      </c>
      <c r="D1" s="14" t="s">
        <v>1</v>
      </c>
      <c r="E1" s="12" t="s">
        <v>2</v>
      </c>
      <c r="F1" s="12" t="s">
        <v>3</v>
      </c>
      <c r="G1" s="15" t="s">
        <v>26</v>
      </c>
    </row>
    <row r="2" spans="1:7" x14ac:dyDescent="0.25">
      <c r="A2" s="2" t="s">
        <v>4</v>
      </c>
      <c r="B2" s="2" t="s">
        <v>5</v>
      </c>
      <c r="C2" s="5">
        <v>45839</v>
      </c>
      <c r="D2" s="6">
        <v>45853</v>
      </c>
      <c r="E2" s="2" t="s">
        <v>6</v>
      </c>
      <c r="F2" s="2">
        <v>1</v>
      </c>
      <c r="G2" s="37">
        <v>10000</v>
      </c>
    </row>
    <row r="3" spans="1:7" x14ac:dyDescent="0.25">
      <c r="A3" s="1" t="s">
        <v>4</v>
      </c>
      <c r="B3" s="2" t="s">
        <v>5</v>
      </c>
      <c r="C3" s="3">
        <v>45870</v>
      </c>
      <c r="D3" s="4">
        <v>45891</v>
      </c>
      <c r="E3" s="1" t="s">
        <v>6</v>
      </c>
      <c r="F3" s="1">
        <v>2</v>
      </c>
      <c r="G3" s="37">
        <v>10000</v>
      </c>
    </row>
    <row r="4" spans="1:7" x14ac:dyDescent="0.25">
      <c r="A4" s="2" t="s">
        <v>4</v>
      </c>
      <c r="B4" s="2" t="s">
        <v>5</v>
      </c>
      <c r="C4" s="5">
        <v>45901</v>
      </c>
      <c r="D4" s="6">
        <v>45915</v>
      </c>
      <c r="E4" s="2" t="s">
        <v>6</v>
      </c>
      <c r="F4" s="2">
        <v>3</v>
      </c>
      <c r="G4" s="37">
        <v>10000</v>
      </c>
    </row>
    <row r="5" spans="1:7" x14ac:dyDescent="0.25">
      <c r="A5" s="1" t="s">
        <v>4</v>
      </c>
      <c r="B5" s="2" t="s">
        <v>5</v>
      </c>
      <c r="C5" s="3">
        <v>45931</v>
      </c>
      <c r="D5" s="4">
        <v>45945</v>
      </c>
      <c r="E5" s="1" t="s">
        <v>6</v>
      </c>
      <c r="F5" s="2">
        <v>4</v>
      </c>
      <c r="G5" s="37">
        <v>10000</v>
      </c>
    </row>
    <row r="6" spans="1:7" x14ac:dyDescent="0.25">
      <c r="A6" s="2" t="s">
        <v>4</v>
      </c>
      <c r="B6" s="2" t="s">
        <v>30</v>
      </c>
      <c r="C6" s="5">
        <v>45839</v>
      </c>
      <c r="D6" s="6">
        <v>45853</v>
      </c>
      <c r="E6" s="2" t="s">
        <v>6</v>
      </c>
      <c r="F6" s="1">
        <v>5</v>
      </c>
      <c r="G6" s="37">
        <v>5000</v>
      </c>
    </row>
    <row r="7" spans="1:7" x14ac:dyDescent="0.25">
      <c r="A7" s="1" t="s">
        <v>4</v>
      </c>
      <c r="B7" s="2" t="s">
        <v>30</v>
      </c>
      <c r="C7" s="3">
        <v>45870</v>
      </c>
      <c r="D7" s="4">
        <v>45891</v>
      </c>
      <c r="E7" s="1" t="s">
        <v>6</v>
      </c>
      <c r="F7" s="2">
        <v>6</v>
      </c>
      <c r="G7" s="37">
        <v>5000</v>
      </c>
    </row>
    <row r="8" spans="1:7" x14ac:dyDescent="0.25">
      <c r="A8" s="2" t="s">
        <v>4</v>
      </c>
      <c r="B8" s="2" t="s">
        <v>30</v>
      </c>
      <c r="C8" s="5">
        <v>45901</v>
      </c>
      <c r="D8" s="6">
        <v>45915</v>
      </c>
      <c r="E8" s="2" t="s">
        <v>6</v>
      </c>
      <c r="F8" s="2">
        <v>7</v>
      </c>
      <c r="G8" s="37">
        <v>5000</v>
      </c>
    </row>
    <row r="9" spans="1:7" x14ac:dyDescent="0.25">
      <c r="A9" s="1" t="s">
        <v>4</v>
      </c>
      <c r="B9" s="2" t="s">
        <v>30</v>
      </c>
      <c r="C9" s="3">
        <v>45931</v>
      </c>
      <c r="D9" s="4">
        <v>45945</v>
      </c>
      <c r="E9" s="1" t="s">
        <v>6</v>
      </c>
      <c r="F9" s="1">
        <v>8</v>
      </c>
      <c r="G9" s="37">
        <v>5000</v>
      </c>
    </row>
    <row r="10" spans="1:7" x14ac:dyDescent="0.25">
      <c r="A10" s="11" t="s">
        <v>31</v>
      </c>
      <c r="B10" s="11" t="s">
        <v>32</v>
      </c>
      <c r="C10" s="5">
        <v>45839</v>
      </c>
      <c r="D10" s="6">
        <v>45853</v>
      </c>
      <c r="E10" s="2" t="s">
        <v>6</v>
      </c>
      <c r="F10" s="2">
        <v>9</v>
      </c>
      <c r="G10" s="38">
        <v>5000</v>
      </c>
    </row>
    <row r="11" spans="1:7" x14ac:dyDescent="0.25">
      <c r="A11" s="11" t="s">
        <v>31</v>
      </c>
      <c r="B11" s="11" t="s">
        <v>32</v>
      </c>
      <c r="C11" s="3">
        <v>45870</v>
      </c>
      <c r="D11" s="4">
        <v>45891</v>
      </c>
      <c r="E11" s="1" t="s">
        <v>6</v>
      </c>
      <c r="F11" s="2">
        <v>10</v>
      </c>
      <c r="G11" s="38">
        <v>5000</v>
      </c>
    </row>
    <row r="12" spans="1:7" x14ac:dyDescent="0.25">
      <c r="A12" s="11" t="s">
        <v>31</v>
      </c>
      <c r="B12" s="11" t="s">
        <v>32</v>
      </c>
      <c r="C12" s="5">
        <v>45901</v>
      </c>
      <c r="D12" s="6">
        <v>45915</v>
      </c>
      <c r="E12" s="2" t="s">
        <v>6</v>
      </c>
      <c r="F12" s="1">
        <v>11</v>
      </c>
      <c r="G12" s="38">
        <v>5000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3E70B-E114-DB47-9B54-E2155041469A}">
  <dimension ref="A1:F9"/>
  <sheetViews>
    <sheetView workbookViewId="0">
      <selection activeCell="D18" sqref="D18"/>
    </sheetView>
  </sheetViews>
  <sheetFormatPr defaultColWidth="11" defaultRowHeight="15.75" x14ac:dyDescent="0.25"/>
  <cols>
    <col min="1" max="1" width="26.375" bestFit="1" customWidth="1"/>
    <col min="2" max="2" width="10.5" bestFit="1" customWidth="1"/>
    <col min="3" max="3" width="8.625" customWidth="1"/>
    <col min="4" max="4" width="114.125" bestFit="1" customWidth="1"/>
    <col min="5" max="5" width="10.375" customWidth="1"/>
    <col min="6" max="6" width="18.125" customWidth="1"/>
  </cols>
  <sheetData>
    <row r="1" spans="1:6" x14ac:dyDescent="0.25">
      <c r="A1" s="12" t="s">
        <v>7</v>
      </c>
      <c r="B1" s="12" t="s">
        <v>0</v>
      </c>
      <c r="C1" s="14" t="s">
        <v>8</v>
      </c>
      <c r="D1" s="12" t="s">
        <v>9</v>
      </c>
      <c r="E1" s="12" t="s">
        <v>10</v>
      </c>
      <c r="F1" s="22" t="s">
        <v>11</v>
      </c>
    </row>
    <row r="2" spans="1:6" x14ac:dyDescent="0.25">
      <c r="A2" s="1" t="s">
        <v>12</v>
      </c>
      <c r="B2" s="2" t="s">
        <v>13</v>
      </c>
      <c r="C2" s="7">
        <v>45869</v>
      </c>
      <c r="D2" s="2" t="s">
        <v>45</v>
      </c>
      <c r="E2" s="1" t="s">
        <v>14</v>
      </c>
      <c r="F2" s="20">
        <v>5000</v>
      </c>
    </row>
    <row r="3" spans="1:6" x14ac:dyDescent="0.25">
      <c r="A3" s="1" t="s">
        <v>12</v>
      </c>
      <c r="B3" s="2" t="s">
        <v>15</v>
      </c>
      <c r="C3" s="8">
        <f>C2+30</f>
        <v>45899</v>
      </c>
      <c r="D3" s="2" t="s">
        <v>45</v>
      </c>
      <c r="E3" s="1" t="s">
        <v>14</v>
      </c>
      <c r="F3" s="21">
        <v>7000</v>
      </c>
    </row>
    <row r="4" spans="1:6" x14ac:dyDescent="0.25">
      <c r="A4" s="1" t="s">
        <v>12</v>
      </c>
      <c r="B4" s="1" t="s">
        <v>16</v>
      </c>
      <c r="C4" s="8">
        <f t="shared" ref="C4:C5" si="0">C3+30</f>
        <v>45929</v>
      </c>
      <c r="D4" s="2" t="s">
        <v>45</v>
      </c>
      <c r="E4" s="1" t="s">
        <v>14</v>
      </c>
      <c r="F4" s="20">
        <v>3000</v>
      </c>
    </row>
    <row r="5" spans="1:6" x14ac:dyDescent="0.25">
      <c r="A5" s="1" t="s">
        <v>12</v>
      </c>
      <c r="B5" s="2" t="s">
        <v>17</v>
      </c>
      <c r="C5" s="8">
        <f t="shared" si="0"/>
        <v>45959</v>
      </c>
      <c r="D5" s="2" t="s">
        <v>45</v>
      </c>
      <c r="E5" s="1" t="s">
        <v>14</v>
      </c>
      <c r="F5" s="21">
        <v>12000</v>
      </c>
    </row>
    <row r="6" spans="1:6" x14ac:dyDescent="0.25">
      <c r="A6" s="1" t="s">
        <v>12</v>
      </c>
      <c r="B6" s="2" t="s">
        <v>13</v>
      </c>
      <c r="C6" s="7">
        <v>45869</v>
      </c>
      <c r="D6" s="2" t="s">
        <v>44</v>
      </c>
      <c r="E6" s="1" t="s">
        <v>14</v>
      </c>
      <c r="F6" s="20">
        <v>2000</v>
      </c>
    </row>
    <row r="7" spans="1:6" x14ac:dyDescent="0.25">
      <c r="A7" s="1" t="s">
        <v>12</v>
      </c>
      <c r="B7" s="2" t="s">
        <v>15</v>
      </c>
      <c r="C7" s="8">
        <f>C6+30</f>
        <v>45899</v>
      </c>
      <c r="D7" s="2" t="s">
        <v>44</v>
      </c>
      <c r="E7" s="1" t="s">
        <v>14</v>
      </c>
      <c r="F7" s="21">
        <v>10000</v>
      </c>
    </row>
    <row r="8" spans="1:6" x14ac:dyDescent="0.25">
      <c r="A8" s="1" t="s">
        <v>12</v>
      </c>
      <c r="B8" s="1" t="s">
        <v>16</v>
      </c>
      <c r="C8" s="8">
        <f t="shared" ref="C8:C9" si="1">C7+30</f>
        <v>45929</v>
      </c>
      <c r="D8" s="2" t="s">
        <v>44</v>
      </c>
      <c r="E8" s="1" t="s">
        <v>14</v>
      </c>
      <c r="F8" s="20">
        <v>8000</v>
      </c>
    </row>
    <row r="9" spans="1:6" x14ac:dyDescent="0.25">
      <c r="A9" s="23" t="s">
        <v>12</v>
      </c>
      <c r="B9" s="24" t="s">
        <v>17</v>
      </c>
      <c r="C9" s="25">
        <f t="shared" si="1"/>
        <v>45959</v>
      </c>
      <c r="D9" s="2" t="s">
        <v>44</v>
      </c>
      <c r="E9" s="23" t="s">
        <v>14</v>
      </c>
      <c r="F9" s="26">
        <v>6000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807D7-3258-4423-8EB2-3A5AEBE44BA7}">
  <dimension ref="A1:F3"/>
  <sheetViews>
    <sheetView workbookViewId="0">
      <selection activeCell="E2" sqref="E2"/>
    </sheetView>
  </sheetViews>
  <sheetFormatPr defaultColWidth="8.875" defaultRowHeight="15.75" x14ac:dyDescent="0.25"/>
  <cols>
    <col min="1" max="1" width="11.625" customWidth="1"/>
    <col min="2" max="2" width="10.125" customWidth="1"/>
    <col min="3" max="3" width="13.5" customWidth="1"/>
    <col min="4" max="4" width="17.125" bestFit="1" customWidth="1"/>
    <col min="5" max="5" width="15.125" customWidth="1"/>
    <col min="6" max="6" width="12.375" customWidth="1"/>
  </cols>
  <sheetData>
    <row r="1" spans="1:6" x14ac:dyDescent="0.25">
      <c r="A1" s="10" t="s">
        <v>35</v>
      </c>
      <c r="B1" s="10" t="s">
        <v>36</v>
      </c>
      <c r="C1" s="10" t="s">
        <v>34</v>
      </c>
      <c r="D1" s="10" t="s">
        <v>27</v>
      </c>
      <c r="E1" s="10" t="s">
        <v>29</v>
      </c>
      <c r="F1" s="10" t="s">
        <v>19</v>
      </c>
    </row>
    <row r="2" spans="1:6" x14ac:dyDescent="0.25">
      <c r="A2" t="s">
        <v>37</v>
      </c>
      <c r="B2" t="s">
        <v>38</v>
      </c>
      <c r="C2">
        <v>45556</v>
      </c>
      <c r="D2" t="s">
        <v>28</v>
      </c>
      <c r="E2">
        <v>1034</v>
      </c>
      <c r="F2">
        <v>14020</v>
      </c>
    </row>
    <row r="3" spans="1:6" x14ac:dyDescent="0.25">
      <c r="A3" t="s">
        <v>39</v>
      </c>
      <c r="B3" t="s">
        <v>40</v>
      </c>
      <c r="C3">
        <v>78543</v>
      </c>
      <c r="D3" t="s">
        <v>33</v>
      </c>
      <c r="E3">
        <v>1020</v>
      </c>
      <c r="F3">
        <v>13010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868CA-6923-4CF1-89B4-93E71D5F69C3}">
  <dimension ref="A1:AB50"/>
  <sheetViews>
    <sheetView topLeftCell="D1" workbookViewId="0">
      <pane ySplit="8" topLeftCell="A9" activePane="bottomLeft" state="frozen"/>
      <selection pane="bottomLeft" activeCell="T9" sqref="T9"/>
    </sheetView>
  </sheetViews>
  <sheetFormatPr defaultColWidth="8.875" defaultRowHeight="15.75" x14ac:dyDescent="0.25"/>
  <cols>
    <col min="1" max="1" width="13.375" customWidth="1"/>
    <col min="2" max="2" width="15" customWidth="1"/>
    <col min="3" max="3" width="15.875" customWidth="1"/>
    <col min="4" max="4" width="25" customWidth="1"/>
    <col min="5" max="6" width="15.875" customWidth="1"/>
    <col min="7" max="7" width="16.625" customWidth="1"/>
    <col min="8" max="8" width="2" customWidth="1"/>
    <col min="9" max="15" width="14.125" customWidth="1"/>
    <col min="16" max="16" width="2" customWidth="1"/>
    <col min="17" max="23" width="14.125" customWidth="1"/>
    <col min="24" max="24" width="2" customWidth="1"/>
    <col min="25" max="31" width="14.125" customWidth="1"/>
  </cols>
  <sheetData>
    <row r="1" spans="1:28" ht="18.75" x14ac:dyDescent="0.3">
      <c r="A1" s="72" t="s">
        <v>106</v>
      </c>
      <c r="B1" s="72"/>
      <c r="C1" s="72"/>
      <c r="D1" s="72"/>
      <c r="E1" s="72"/>
      <c r="F1" s="72"/>
      <c r="G1" s="72"/>
    </row>
    <row r="2" spans="1:28" x14ac:dyDescent="0.25">
      <c r="A2" s="73" t="s">
        <v>107</v>
      </c>
      <c r="B2" s="73"/>
      <c r="C2" s="73"/>
      <c r="D2" s="73"/>
      <c r="E2" s="73"/>
      <c r="F2" s="73"/>
      <c r="G2" s="73"/>
    </row>
    <row r="4" spans="1:28" x14ac:dyDescent="0.25">
      <c r="A4" s="47" t="s">
        <v>108</v>
      </c>
      <c r="B4" s="58" cm="1">
        <f t="array" ref="B4:E4">TRANSPOSE(_xlfn._xlws.SORT(_xlfn.UNIQUE(_xlfn._xlws.FILTER(tblGeneralLedger[Period],LEFT(tblGeneralLedger[Account],4)="5000"))))</f>
        <v>45839</v>
      </c>
      <c r="C4" s="40">
        <v>45870</v>
      </c>
      <c r="D4" s="40">
        <v>45901</v>
      </c>
      <c r="E4" s="40">
        <v>45931</v>
      </c>
    </row>
    <row r="5" spans="1:28" x14ac:dyDescent="0.25">
      <c r="A5" s="47" t="s">
        <v>109</v>
      </c>
      <c r="B5" s="50" t="str" cm="1">
        <f t="array" ref="B5:E5">TEXT(_xlfn.ANCHORARRAY(B4),"mmm/yyyy")</f>
        <v>Jul/2025</v>
      </c>
      <c r="C5" t="str">
        <v>Aug/2025</v>
      </c>
      <c r="D5" t="str">
        <v>Sep/2025</v>
      </c>
      <c r="E5" t="str">
        <v>Oct/2025</v>
      </c>
    </row>
    <row r="6" spans="1:28" x14ac:dyDescent="0.25">
      <c r="A6" s="47" t="s">
        <v>110</v>
      </c>
      <c r="B6" s="50">
        <f>COUNTA(_xlfn.ANCHORARRAY(B4))</f>
        <v>4</v>
      </c>
    </row>
    <row r="7" spans="1:28" x14ac:dyDescent="0.25">
      <c r="I7" s="55" t="s">
        <v>41</v>
      </c>
      <c r="Q7" s="55" t="s">
        <v>42</v>
      </c>
      <c r="Y7" s="55" t="s">
        <v>95</v>
      </c>
    </row>
    <row r="8" spans="1:28" ht="16.5" thickBot="1" x14ac:dyDescent="0.3">
      <c r="A8" s="42" t="s">
        <v>35</v>
      </c>
      <c r="B8" s="42" t="s">
        <v>36</v>
      </c>
      <c r="C8" s="42" t="s">
        <v>34</v>
      </c>
      <c r="D8" s="42" t="s">
        <v>27</v>
      </c>
      <c r="E8" s="42" t="s">
        <v>29</v>
      </c>
      <c r="F8" s="42" t="s">
        <v>19</v>
      </c>
      <c r="G8" s="42" t="s">
        <v>48</v>
      </c>
      <c r="I8" s="56" t="str" cm="1">
        <f t="array" ref="I8:L8">_xlfn.ANCHORARRAY($B$5)</f>
        <v>Jul/2025</v>
      </c>
      <c r="J8" s="51" t="str">
        <v>Aug/2025</v>
      </c>
      <c r="K8" s="51" t="str">
        <v>Sep/2025</v>
      </c>
      <c r="L8" s="51" t="str">
        <v>Oct/2025</v>
      </c>
      <c r="Q8" s="56" t="str" cm="1">
        <f t="array" ref="Q8:T8">_xlfn.ANCHORARRAY($B$5)</f>
        <v>Jul/2025</v>
      </c>
      <c r="R8" s="51" t="str">
        <v>Aug/2025</v>
      </c>
      <c r="S8" s="51" t="str">
        <v>Sep/2025</v>
      </c>
      <c r="T8" s="51" t="str">
        <v>Oct/2025</v>
      </c>
      <c r="Y8" s="56" t="str" cm="1">
        <f t="array" ref="Y8:AB8">_xlfn.ANCHORARRAY($B$5)</f>
        <v>Jul/2025</v>
      </c>
      <c r="Z8" s="51" t="str">
        <v>Aug/2025</v>
      </c>
      <c r="AA8" s="51" t="str">
        <v>Sep/2025</v>
      </c>
      <c r="AB8" s="51" t="str">
        <v>Oct/2025</v>
      </c>
    </row>
    <row r="9" spans="1:28" x14ac:dyDescent="0.25">
      <c r="A9" s="52" t="str" cm="1">
        <f t="array" ref="A9:A10">tblStaffList[First Name]</f>
        <v>John</v>
      </c>
      <c r="B9" s="52" t="str" cm="1">
        <f t="array" ref="B9:B10">tblStaffList[Surname]</f>
        <v>Smith</v>
      </c>
      <c r="C9" s="52" cm="1">
        <f t="array" ref="C9:C10">tblStaffList[Personnel No]</f>
        <v>45556</v>
      </c>
      <c r="D9" s="52" t="str" cm="1">
        <f t="array" ref="D9:D10">tblStaffList[Role]</f>
        <v>Financial Controller</v>
      </c>
      <c r="E9" s="52" cm="1">
        <f t="array" ref="E9:E10">tblStaffList[Company Code]</f>
        <v>1034</v>
      </c>
      <c r="F9" s="52" cm="1">
        <f t="array" ref="F9:F10">tblStaffList[Cost Centre]</f>
        <v>14020</v>
      </c>
      <c r="G9" s="52" t="str" cm="1">
        <f t="array" ref="G9:G10">_xlfn.ANCHORARRAY(E9)&amp;"_"&amp;_xlfn.ANCHORARRAY(F9)</f>
        <v>1034_14020</v>
      </c>
      <c r="I9" s="46" cm="1">
        <f t="array" ref="I9:L10">_xlfn.MAKEARRAY(ROWS(_xlfn.ANCHORARRAY($D9)),COLUMNS(_xlfn.ANCHORARRAY($B$4)),_xlfn.LAMBDA(_xlpm.r,_xlpm.c,SUMIFS(tblGeneralLedger[Amount],tblGeneralLedger[Period],INDEX(_xlfn.ANCHORARRAY($B$4),_xlpm.c),tblGeneralLedger[Description],"*"&amp;INDEX(_xlfn.ANCHORARRAY($D9),_xlpm.r)&amp;"*")))</f>
        <v>10000</v>
      </c>
      <c r="J9">
        <v>10000</v>
      </c>
      <c r="K9">
        <v>10000</v>
      </c>
      <c r="L9">
        <v>10000</v>
      </c>
      <c r="Q9" s="46" cm="1">
        <f t="array" ref="Q9:T10">_xlfn.MAKEARRAY(ROWS(_xlfn.ANCHORARRAY($A9)),COLUMNS(_xlfn.ANCHORARRAY($B$5)),_xlfn.LAMBDA(_xlpm.r,_xlpm.c,SUMIFS(tblBankStatement[Bank account amt],tblBankStatement[Period],INDEX(_xlfn.ANCHORARRAY($B$5),_xlpm.c),tblBankStatement[Text],"*"&amp;INDEX(_xlfn.ANCHORARRAY($A9),_xlpm.r)&amp;" "&amp;INDEX(_xlfn.ANCHORARRAY($B9),_xlpm.r)&amp;"*")))</f>
        <v>5000</v>
      </c>
      <c r="R9">
        <v>7000</v>
      </c>
      <c r="S9">
        <v>3000</v>
      </c>
      <c r="T9">
        <v>12000</v>
      </c>
      <c r="Y9" s="46" cm="1">
        <f t="array" ref="Y9:AB10">_xlfn.ANCHORARRAY(I9)-_xlfn.ANCHORARRAY(Q9)</f>
        <v>5000</v>
      </c>
      <c r="Z9">
        <v>3000</v>
      </c>
      <c r="AA9">
        <v>7000</v>
      </c>
      <c r="AB9">
        <v>-2000</v>
      </c>
    </row>
    <row r="10" spans="1:28" x14ac:dyDescent="0.25">
      <c r="A10" s="53" t="str">
        <v>Jane</v>
      </c>
      <c r="B10" s="53" t="str">
        <v>Meadows</v>
      </c>
      <c r="C10" s="53">
        <v>78543</v>
      </c>
      <c r="D10" s="53" t="str">
        <v>Financial Analyst</v>
      </c>
      <c r="E10" s="53">
        <v>1020</v>
      </c>
      <c r="F10" s="53">
        <v>13010</v>
      </c>
      <c r="G10" s="53" t="str">
        <v>1020_13010</v>
      </c>
      <c r="I10">
        <v>5000</v>
      </c>
      <c r="J10">
        <v>5000</v>
      </c>
      <c r="K10">
        <v>5000</v>
      </c>
      <c r="L10">
        <v>5000</v>
      </c>
      <c r="Q10">
        <v>2000</v>
      </c>
      <c r="R10">
        <v>10000</v>
      </c>
      <c r="S10">
        <v>8000</v>
      </c>
      <c r="T10">
        <v>6000</v>
      </c>
      <c r="Y10">
        <v>3000</v>
      </c>
      <c r="Z10">
        <v>-5000</v>
      </c>
      <c r="AA10">
        <v>-3000</v>
      </c>
      <c r="AB10">
        <v>-1000</v>
      </c>
    </row>
    <row r="11" spans="1:28" x14ac:dyDescent="0.25">
      <c r="A11" s="53"/>
      <c r="B11" s="53"/>
      <c r="C11" s="53"/>
      <c r="D11" s="53"/>
      <c r="E11" s="53"/>
      <c r="F11" s="53"/>
      <c r="G11" s="53"/>
    </row>
    <row r="12" spans="1:28" x14ac:dyDescent="0.25">
      <c r="A12" s="53"/>
      <c r="B12" s="53"/>
      <c r="C12" s="53"/>
      <c r="D12" s="53"/>
      <c r="E12" s="53"/>
      <c r="F12" s="53"/>
      <c r="G12" s="53"/>
    </row>
    <row r="13" spans="1:28" x14ac:dyDescent="0.25">
      <c r="A13" s="53"/>
      <c r="B13" s="53"/>
      <c r="C13" s="53"/>
      <c r="D13" s="53"/>
      <c r="E13" s="53"/>
      <c r="F13" s="53"/>
      <c r="G13" s="53"/>
    </row>
    <row r="14" spans="1:28" x14ac:dyDescent="0.25">
      <c r="A14" s="53"/>
      <c r="B14" s="53"/>
      <c r="C14" s="53"/>
      <c r="D14" s="53"/>
      <c r="E14" s="53"/>
      <c r="F14" s="53"/>
      <c r="G14" s="53"/>
    </row>
    <row r="15" spans="1:28" x14ac:dyDescent="0.25">
      <c r="A15" s="53"/>
      <c r="B15" s="53"/>
      <c r="C15" s="53"/>
      <c r="D15" s="53"/>
      <c r="E15" s="53"/>
      <c r="F15" s="53"/>
      <c r="G15" s="53"/>
    </row>
    <row r="16" spans="1:28" x14ac:dyDescent="0.25">
      <c r="A16" s="53"/>
      <c r="B16" s="53"/>
      <c r="C16" s="53"/>
      <c r="D16" s="53"/>
      <c r="E16" s="53"/>
      <c r="F16" s="53"/>
      <c r="G16" s="53"/>
    </row>
    <row r="17" spans="1:7" x14ac:dyDescent="0.25">
      <c r="A17" s="53"/>
      <c r="B17" s="53"/>
      <c r="C17" s="53"/>
      <c r="D17" s="53"/>
      <c r="E17" s="53"/>
      <c r="F17" s="53"/>
      <c r="G17" s="53"/>
    </row>
    <row r="18" spans="1:7" x14ac:dyDescent="0.25">
      <c r="A18" s="53"/>
      <c r="B18" s="53"/>
      <c r="C18" s="53"/>
      <c r="D18" s="53"/>
      <c r="E18" s="53"/>
      <c r="F18" s="53"/>
      <c r="G18" s="53"/>
    </row>
    <row r="19" spans="1:7" x14ac:dyDescent="0.25">
      <c r="A19" s="53"/>
      <c r="B19" s="53"/>
      <c r="C19" s="53"/>
      <c r="D19" s="53"/>
      <c r="E19" s="53"/>
      <c r="F19" s="53"/>
      <c r="G19" s="53"/>
    </row>
    <row r="20" spans="1:7" x14ac:dyDescent="0.25">
      <c r="A20" s="53"/>
      <c r="B20" s="53"/>
      <c r="C20" s="53"/>
      <c r="D20" s="53"/>
      <c r="E20" s="53"/>
      <c r="F20" s="53"/>
      <c r="G20" s="53"/>
    </row>
    <row r="21" spans="1:7" x14ac:dyDescent="0.25">
      <c r="A21" s="53"/>
      <c r="B21" s="53"/>
      <c r="C21" s="53"/>
      <c r="D21" s="53"/>
      <c r="E21" s="53"/>
      <c r="F21" s="53"/>
      <c r="G21" s="53"/>
    </row>
    <row r="22" spans="1:7" x14ac:dyDescent="0.25">
      <c r="A22" s="53"/>
      <c r="B22" s="53"/>
      <c r="C22" s="53"/>
      <c r="D22" s="53"/>
      <c r="E22" s="53"/>
      <c r="F22" s="53"/>
      <c r="G22" s="53"/>
    </row>
    <row r="23" spans="1:7" x14ac:dyDescent="0.25">
      <c r="A23" s="53"/>
      <c r="B23" s="53"/>
      <c r="C23" s="53"/>
      <c r="D23" s="53"/>
      <c r="E23" s="53"/>
      <c r="F23" s="53"/>
      <c r="G23" s="53"/>
    </row>
    <row r="24" spans="1:7" x14ac:dyDescent="0.25">
      <c r="A24" s="53"/>
      <c r="B24" s="53"/>
      <c r="C24" s="53"/>
      <c r="D24" s="53"/>
      <c r="E24" s="53"/>
      <c r="F24" s="53"/>
      <c r="G24" s="53"/>
    </row>
    <row r="25" spans="1:7" x14ac:dyDescent="0.25">
      <c r="A25" s="53"/>
      <c r="B25" s="53"/>
      <c r="C25" s="53"/>
      <c r="D25" s="53"/>
      <c r="E25" s="53"/>
      <c r="F25" s="53"/>
      <c r="G25" s="53"/>
    </row>
    <row r="26" spans="1:7" x14ac:dyDescent="0.25">
      <c r="A26" s="53"/>
      <c r="B26" s="53"/>
      <c r="C26" s="53"/>
      <c r="D26" s="53"/>
      <c r="E26" s="53"/>
      <c r="F26" s="53"/>
      <c r="G26" s="53"/>
    </row>
    <row r="27" spans="1:7" x14ac:dyDescent="0.25">
      <c r="A27" s="53"/>
      <c r="B27" s="53"/>
      <c r="C27" s="53"/>
      <c r="D27" s="53"/>
      <c r="E27" s="53"/>
      <c r="F27" s="53"/>
      <c r="G27" s="53"/>
    </row>
    <row r="28" spans="1:7" x14ac:dyDescent="0.25">
      <c r="A28" s="53"/>
      <c r="B28" s="53"/>
      <c r="C28" s="53"/>
      <c r="D28" s="53"/>
      <c r="E28" s="53"/>
      <c r="F28" s="53"/>
      <c r="G28" s="53"/>
    </row>
    <row r="29" spans="1:7" x14ac:dyDescent="0.25">
      <c r="A29" s="53"/>
      <c r="B29" s="53"/>
      <c r="C29" s="53"/>
      <c r="D29" s="53"/>
      <c r="E29" s="53"/>
      <c r="F29" s="53"/>
      <c r="G29" s="53"/>
    </row>
    <row r="30" spans="1:7" x14ac:dyDescent="0.25">
      <c r="A30" s="53"/>
      <c r="B30" s="53"/>
      <c r="C30" s="53"/>
      <c r="D30" s="53"/>
      <c r="E30" s="53"/>
      <c r="F30" s="53"/>
      <c r="G30" s="53"/>
    </row>
    <row r="31" spans="1:7" x14ac:dyDescent="0.25">
      <c r="A31" s="53"/>
      <c r="B31" s="53"/>
      <c r="C31" s="53"/>
      <c r="D31" s="53"/>
      <c r="E31" s="53"/>
      <c r="F31" s="53"/>
      <c r="G31" s="53"/>
    </row>
    <row r="32" spans="1:7" x14ac:dyDescent="0.25">
      <c r="A32" s="53"/>
      <c r="B32" s="53"/>
      <c r="C32" s="53"/>
      <c r="D32" s="53"/>
      <c r="E32" s="53"/>
      <c r="F32" s="53"/>
      <c r="G32" s="53"/>
    </row>
    <row r="33" spans="1:7" x14ac:dyDescent="0.25">
      <c r="A33" s="53"/>
      <c r="B33" s="53"/>
      <c r="C33" s="53"/>
      <c r="D33" s="53"/>
      <c r="E33" s="53"/>
      <c r="F33" s="53"/>
      <c r="G33" s="53"/>
    </row>
    <row r="34" spans="1:7" x14ac:dyDescent="0.25">
      <c r="A34" s="53"/>
      <c r="B34" s="53"/>
      <c r="C34" s="53"/>
      <c r="D34" s="53"/>
      <c r="E34" s="53"/>
      <c r="F34" s="53"/>
      <c r="G34" s="53"/>
    </row>
    <row r="35" spans="1:7" x14ac:dyDescent="0.25">
      <c r="A35" s="53"/>
      <c r="B35" s="53"/>
      <c r="C35" s="53"/>
      <c r="D35" s="53"/>
      <c r="E35" s="53"/>
      <c r="F35" s="53"/>
      <c r="G35" s="53"/>
    </row>
    <row r="36" spans="1:7" x14ac:dyDescent="0.25">
      <c r="A36" s="53"/>
      <c r="B36" s="53"/>
      <c r="C36" s="53"/>
      <c r="D36" s="53"/>
      <c r="E36" s="53"/>
      <c r="F36" s="53"/>
      <c r="G36" s="53"/>
    </row>
    <row r="37" spans="1:7" x14ac:dyDescent="0.25">
      <c r="A37" s="53"/>
      <c r="B37" s="53"/>
      <c r="C37" s="53"/>
      <c r="D37" s="53"/>
      <c r="E37" s="53"/>
      <c r="F37" s="53"/>
      <c r="G37" s="53"/>
    </row>
    <row r="38" spans="1:7" x14ac:dyDescent="0.25">
      <c r="A38" s="53"/>
      <c r="B38" s="53"/>
      <c r="C38" s="53"/>
      <c r="D38" s="53"/>
      <c r="E38" s="53"/>
      <c r="F38" s="53"/>
      <c r="G38" s="53"/>
    </row>
    <row r="39" spans="1:7" x14ac:dyDescent="0.25">
      <c r="A39" s="53"/>
      <c r="B39" s="53"/>
      <c r="C39" s="53"/>
      <c r="D39" s="53"/>
      <c r="E39" s="53"/>
      <c r="F39" s="53"/>
      <c r="G39" s="53"/>
    </row>
    <row r="40" spans="1:7" x14ac:dyDescent="0.25">
      <c r="A40" s="53"/>
      <c r="B40" s="53"/>
      <c r="C40" s="53"/>
      <c r="D40" s="53"/>
      <c r="E40" s="53"/>
      <c r="F40" s="53"/>
      <c r="G40" s="53"/>
    </row>
    <row r="41" spans="1:7" x14ac:dyDescent="0.25">
      <c r="A41" s="53"/>
      <c r="B41" s="53"/>
      <c r="C41" s="53"/>
      <c r="D41" s="53"/>
      <c r="E41" s="53"/>
      <c r="F41" s="53"/>
      <c r="G41" s="53"/>
    </row>
    <row r="42" spans="1:7" x14ac:dyDescent="0.25">
      <c r="A42" s="53"/>
      <c r="B42" s="53"/>
      <c r="C42" s="53"/>
      <c r="D42" s="53"/>
      <c r="E42" s="53"/>
      <c r="F42" s="53"/>
      <c r="G42" s="53"/>
    </row>
    <row r="43" spans="1:7" x14ac:dyDescent="0.25">
      <c r="A43" s="53"/>
      <c r="B43" s="53"/>
      <c r="C43" s="53"/>
      <c r="D43" s="53"/>
      <c r="E43" s="53"/>
      <c r="F43" s="53"/>
      <c r="G43" s="53"/>
    </row>
    <row r="44" spans="1:7" x14ac:dyDescent="0.25">
      <c r="A44" s="53"/>
      <c r="B44" s="53"/>
      <c r="C44" s="53"/>
      <c r="D44" s="53"/>
      <c r="E44" s="53"/>
      <c r="F44" s="53"/>
      <c r="G44" s="53"/>
    </row>
    <row r="45" spans="1:7" x14ac:dyDescent="0.25">
      <c r="A45" s="53"/>
      <c r="B45" s="53"/>
      <c r="C45" s="53"/>
      <c r="D45" s="53"/>
      <c r="E45" s="53"/>
      <c r="F45" s="53"/>
      <c r="G45" s="53"/>
    </row>
    <row r="46" spans="1:7" x14ac:dyDescent="0.25">
      <c r="A46" s="53"/>
      <c r="B46" s="53"/>
      <c r="C46" s="53"/>
      <c r="D46" s="53"/>
      <c r="E46" s="53"/>
      <c r="F46" s="53"/>
      <c r="G46" s="53"/>
    </row>
    <row r="47" spans="1:7" x14ac:dyDescent="0.25">
      <c r="A47" s="53"/>
      <c r="B47" s="53"/>
      <c r="C47" s="53"/>
      <c r="D47" s="53"/>
      <c r="E47" s="53"/>
      <c r="F47" s="53"/>
      <c r="G47" s="53"/>
    </row>
    <row r="48" spans="1:7" x14ac:dyDescent="0.25">
      <c r="A48" s="53"/>
      <c r="B48" s="53"/>
      <c r="C48" s="53"/>
      <c r="D48" s="53"/>
      <c r="E48" s="53"/>
      <c r="F48" s="53"/>
      <c r="G48" s="53"/>
    </row>
    <row r="49" spans="1:7" x14ac:dyDescent="0.25">
      <c r="A49" s="53"/>
      <c r="B49" s="53"/>
      <c r="C49" s="53"/>
      <c r="D49" s="53"/>
      <c r="E49" s="53"/>
      <c r="F49" s="53"/>
      <c r="G49" s="53"/>
    </row>
    <row r="50" spans="1:7" x14ac:dyDescent="0.25">
      <c r="A50" s="54"/>
      <c r="B50" s="54"/>
      <c r="C50" s="54"/>
      <c r="D50" s="54"/>
      <c r="E50" s="54"/>
      <c r="F50" s="54"/>
      <c r="G50" s="54"/>
    </row>
  </sheetData>
  <mergeCells count="2">
    <mergeCell ref="A1:G1"/>
    <mergeCell ref="A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46138-1D3D-4B62-B89C-E07420F53533}">
  <dimension ref="A1:J405"/>
  <sheetViews>
    <sheetView workbookViewId="0">
      <pane ySplit="5" topLeftCell="A296" activePane="bottomLeft" state="frozen"/>
      <selection pane="bottomLeft" activeCell="H326" sqref="H326"/>
    </sheetView>
  </sheetViews>
  <sheetFormatPr defaultColWidth="8.875" defaultRowHeight="15.75" x14ac:dyDescent="0.25"/>
  <cols>
    <col min="1" max="1" width="15" style="40" customWidth="1"/>
    <col min="2" max="3" width="15" customWidth="1"/>
    <col min="4" max="4" width="12.5" customWidth="1"/>
    <col min="5" max="5" width="36.625" customWidth="1"/>
    <col min="6" max="7" width="15.875" style="46" customWidth="1"/>
    <col min="8" max="8" width="15.875" customWidth="1"/>
  </cols>
  <sheetData>
    <row r="1" spans="1:10" ht="18.75" x14ac:dyDescent="0.3">
      <c r="A1" s="72" t="s">
        <v>111</v>
      </c>
      <c r="B1" s="72"/>
      <c r="C1" s="72"/>
      <c r="D1" s="72"/>
      <c r="E1" s="72"/>
      <c r="F1" s="72"/>
      <c r="G1" s="72"/>
    </row>
    <row r="2" spans="1:10" x14ac:dyDescent="0.25">
      <c r="A2" s="73" t="s">
        <v>112</v>
      </c>
      <c r="B2" s="73"/>
      <c r="C2" s="73"/>
      <c r="D2" s="73"/>
      <c r="E2" s="73"/>
      <c r="F2" s="73"/>
      <c r="G2" s="73"/>
    </row>
    <row r="3" spans="1:10" x14ac:dyDescent="0.25">
      <c r="A3"/>
    </row>
    <row r="4" spans="1:10" x14ac:dyDescent="0.25">
      <c r="A4" s="75" t="s">
        <v>96</v>
      </c>
      <c r="B4" s="75"/>
      <c r="C4" s="75"/>
      <c r="D4" s="75"/>
      <c r="E4" s="75"/>
      <c r="F4" s="75"/>
      <c r="G4" s="75"/>
    </row>
    <row r="5" spans="1:10" x14ac:dyDescent="0.25">
      <c r="A5" s="42" t="s">
        <v>0</v>
      </c>
      <c r="B5" s="42" t="s">
        <v>18</v>
      </c>
      <c r="C5" s="42" t="s">
        <v>19</v>
      </c>
      <c r="D5" s="42" t="s">
        <v>34</v>
      </c>
      <c r="E5" s="42" t="s">
        <v>27</v>
      </c>
      <c r="F5" s="59" t="s">
        <v>35</v>
      </c>
      <c r="G5" s="59" t="s">
        <v>36</v>
      </c>
      <c r="H5" s="42" t="s">
        <v>97</v>
      </c>
      <c r="J5" s="57"/>
    </row>
    <row r="6" spans="1:10" x14ac:dyDescent="0.25">
      <c r="A6" s="40" cm="1">
        <f t="array" ref="A6:A13">_xlfn.TOCOL(_xlfn.MAP(_xlfn.ANCHORARRAY(Calcs!$B$4),_xlfn.LAMBDA(_xlpm.p,EOMONTH(_xlpm.p,0)))+0*_xlfn.SEQUENCE(ROWS(_xlfn.ANCHORARRAY(Calcs!$A9))))</f>
        <v>45869</v>
      </c>
      <c r="B6" cm="1">
        <f t="array" ref="B6:B13">_xlfn.TOCOL(_xlfn.ANCHORARRAY(Calcs!$E9)+0*_xlfn.SEQUENCE(1,COLUMNS(_xlfn.ANCHORARRAY(Calcs!$B$4))))</f>
        <v>1034</v>
      </c>
      <c r="C6" cm="1">
        <f t="array" ref="C6:C13">_xlfn.TOCOL(_xlfn.ANCHORARRAY(Calcs!$F9)+0*_xlfn.SEQUENCE(1,COLUMNS(_xlfn.ANCHORARRAY(Calcs!$B$4))))</f>
        <v>14020</v>
      </c>
      <c r="D6" cm="1">
        <f t="array" ref="D6:D13">_xlfn.TOCOL(_xlfn.ANCHORARRAY(Calcs!$C9)+0*_xlfn.SEQUENCE(1,COLUMNS(_xlfn.ANCHORARRAY(Calcs!$B$4))))</f>
        <v>45556</v>
      </c>
      <c r="E6" t="str" cm="1">
        <f t="array" ref="E6:E13">_xlfn.TOCOL(IF(_xlfn.SEQUENCE(1,COLUMNS(_xlfn.ANCHORARRAY(Calcs!$B$4)),1,0)&gt;=0,_xlfn.ANCHORARRAY(Calcs!$D9)))</f>
        <v>Financial Controller</v>
      </c>
      <c r="F6" s="46" t="str" cm="1">
        <f t="array" ref="F6:F13">_xlfn.TOCOL(IF(_xlfn.SEQUENCE(1,COLUMNS(_xlfn.ANCHORARRAY(Calcs!$B$4)),1,0)&gt;=0,_xlfn.ANCHORARRAY(Calcs!$A9)))</f>
        <v>John</v>
      </c>
      <c r="G6" s="46" t="str" cm="1">
        <f t="array" ref="G6:G13">_xlfn.TOCOL(IF(_xlfn.SEQUENCE(1,COLUMNS(_xlfn.ANCHORARRAY(Calcs!$B$4)),1,0)&gt;=0,_xlfn.ANCHORARRAY(Calcs!$B9)))</f>
        <v>Smith</v>
      </c>
      <c r="H6" s="46" cm="1">
        <f t="array" ref="H6:H13">_xlfn.TOCOL(_xlfn.ANCHORARRAY(Calcs!Y9))</f>
        <v>5000</v>
      </c>
    </row>
    <row r="7" spans="1:10" x14ac:dyDescent="0.25">
      <c r="A7" s="40">
        <v>45900</v>
      </c>
      <c r="B7">
        <v>1034</v>
      </c>
      <c r="C7">
        <v>14020</v>
      </c>
      <c r="D7">
        <v>45556</v>
      </c>
      <c r="E7" t="str">
        <v>Financial Controller</v>
      </c>
      <c r="F7" s="46" t="str">
        <v>John</v>
      </c>
      <c r="G7" s="46" t="str">
        <v>Smith</v>
      </c>
      <c r="H7">
        <v>3000</v>
      </c>
    </row>
    <row r="8" spans="1:10" x14ac:dyDescent="0.25">
      <c r="A8" s="40">
        <v>45930</v>
      </c>
      <c r="B8">
        <v>1034</v>
      </c>
      <c r="C8">
        <v>14020</v>
      </c>
      <c r="D8">
        <v>45556</v>
      </c>
      <c r="E8" t="str">
        <v>Financial Controller</v>
      </c>
      <c r="F8" s="46" t="str">
        <v>John</v>
      </c>
      <c r="G8" s="46" t="str">
        <v>Smith</v>
      </c>
      <c r="H8">
        <v>7000</v>
      </c>
    </row>
    <row r="9" spans="1:10" x14ac:dyDescent="0.25">
      <c r="A9" s="40">
        <v>45961</v>
      </c>
      <c r="B9">
        <v>1034</v>
      </c>
      <c r="C9">
        <v>14020</v>
      </c>
      <c r="D9">
        <v>45556</v>
      </c>
      <c r="E9" t="str">
        <v>Financial Controller</v>
      </c>
      <c r="F9" s="46" t="str">
        <v>John</v>
      </c>
      <c r="G9" s="46" t="str">
        <v>Smith</v>
      </c>
      <c r="H9">
        <v>-2000</v>
      </c>
    </row>
    <row r="10" spans="1:10" x14ac:dyDescent="0.25">
      <c r="A10" s="40">
        <v>45869</v>
      </c>
      <c r="B10">
        <v>1020</v>
      </c>
      <c r="C10">
        <v>13010</v>
      </c>
      <c r="D10">
        <v>78543</v>
      </c>
      <c r="E10" t="str">
        <v>Financial Analyst</v>
      </c>
      <c r="F10" s="46" t="str">
        <v>Jane</v>
      </c>
      <c r="G10" s="46" t="str">
        <v>Meadows</v>
      </c>
      <c r="H10">
        <v>3000</v>
      </c>
    </row>
    <row r="11" spans="1:10" x14ac:dyDescent="0.25">
      <c r="A11" s="40">
        <v>45900</v>
      </c>
      <c r="B11">
        <v>1020</v>
      </c>
      <c r="C11">
        <v>13010</v>
      </c>
      <c r="D11">
        <v>78543</v>
      </c>
      <c r="E11" t="str">
        <v>Financial Analyst</v>
      </c>
      <c r="F11" s="46" t="str">
        <v>Jane</v>
      </c>
      <c r="G11" s="46" t="str">
        <v>Meadows</v>
      </c>
      <c r="H11">
        <v>-5000</v>
      </c>
    </row>
    <row r="12" spans="1:10" x14ac:dyDescent="0.25">
      <c r="A12" s="40">
        <v>45930</v>
      </c>
      <c r="B12">
        <v>1020</v>
      </c>
      <c r="C12">
        <v>13010</v>
      </c>
      <c r="D12">
        <v>78543</v>
      </c>
      <c r="E12" t="str">
        <v>Financial Analyst</v>
      </c>
      <c r="F12" s="46" t="str">
        <v>Jane</v>
      </c>
      <c r="G12" s="46" t="str">
        <v>Meadows</v>
      </c>
      <c r="H12">
        <v>-3000</v>
      </c>
    </row>
    <row r="13" spans="1:10" x14ac:dyDescent="0.25">
      <c r="A13" s="40">
        <v>45961</v>
      </c>
      <c r="B13">
        <v>1020</v>
      </c>
      <c r="C13">
        <v>13010</v>
      </c>
      <c r="D13">
        <v>78543</v>
      </c>
      <c r="E13" t="str">
        <v>Financial Analyst</v>
      </c>
      <c r="F13" s="46" t="str">
        <v>Jane</v>
      </c>
      <c r="G13" s="46" t="str">
        <v>Meadows</v>
      </c>
      <c r="H13">
        <v>-1000</v>
      </c>
    </row>
    <row r="100" spans="1:7" x14ac:dyDescent="0.25">
      <c r="A100" s="75" t="s">
        <v>82</v>
      </c>
      <c r="B100" s="75"/>
      <c r="C100" s="75"/>
      <c r="D100" s="75"/>
      <c r="E100" s="75"/>
      <c r="F100" s="75"/>
      <c r="G100" s="75"/>
    </row>
    <row r="101" spans="1:7" x14ac:dyDescent="0.25">
      <c r="A101" s="42" t="s">
        <v>0</v>
      </c>
      <c r="B101" s="42" t="s">
        <v>18</v>
      </c>
      <c r="C101" s="42" t="s">
        <v>19</v>
      </c>
      <c r="D101" s="42" t="s">
        <v>20</v>
      </c>
      <c r="E101" s="42" t="s">
        <v>21</v>
      </c>
      <c r="F101" s="42" t="s">
        <v>22</v>
      </c>
      <c r="G101" s="42" t="s">
        <v>23</v>
      </c>
    </row>
    <row r="102" spans="1:7" x14ac:dyDescent="0.25">
      <c r="A102" s="40" cm="1">
        <f t="array" ref="A102:G109">_xlfn.HSTACK(_xlfn.ANCHORARRAY($A6),_xlfn.ANCHORARRAY($B6),_xlfn.ANCHORARRAY($C6),IF(_xlfn.ANCHORARRAY($H6)&gt;=0,30910,20100),IF(_xlfn.ANCHORARRAY($H6)&gt;=0,"Accrued Salary Cost","Salary Overpayment Credit"),IF(_xlfn.ANCHORARRAY($H6)&gt;0,_xlfn.ANCHORARRAY($H6),0),IF(_xlfn.ANCHORARRAY($H6)&lt;0,-_xlfn.ANCHORARRAY($H6),0))</f>
        <v>45869</v>
      </c>
      <c r="B102">
        <v>1034</v>
      </c>
      <c r="C102">
        <v>14020</v>
      </c>
      <c r="D102">
        <v>30910</v>
      </c>
      <c r="E102" t="str">
        <v>Accrued Salary Cost</v>
      </c>
      <c r="F102" s="46">
        <v>5000</v>
      </c>
      <c r="G102" s="46">
        <v>0</v>
      </c>
    </row>
    <row r="103" spans="1:7" x14ac:dyDescent="0.25">
      <c r="A103" s="40">
        <v>45900</v>
      </c>
      <c r="B103">
        <v>1034</v>
      </c>
      <c r="C103">
        <v>14020</v>
      </c>
      <c r="D103">
        <v>30910</v>
      </c>
      <c r="E103" t="str">
        <v>Accrued Salary Cost</v>
      </c>
      <c r="F103" s="46">
        <v>3000</v>
      </c>
      <c r="G103" s="46">
        <v>0</v>
      </c>
    </row>
    <row r="104" spans="1:7" x14ac:dyDescent="0.25">
      <c r="A104" s="40">
        <v>45930</v>
      </c>
      <c r="B104">
        <v>1034</v>
      </c>
      <c r="C104">
        <v>14020</v>
      </c>
      <c r="D104">
        <v>30910</v>
      </c>
      <c r="E104" t="str">
        <v>Accrued Salary Cost</v>
      </c>
      <c r="F104" s="46">
        <v>7000</v>
      </c>
      <c r="G104" s="46">
        <v>0</v>
      </c>
    </row>
    <row r="105" spans="1:7" x14ac:dyDescent="0.25">
      <c r="A105" s="40">
        <v>45961</v>
      </c>
      <c r="B105">
        <v>1034</v>
      </c>
      <c r="C105">
        <v>14020</v>
      </c>
      <c r="D105">
        <v>20100</v>
      </c>
      <c r="E105" t="str">
        <v>Salary Overpayment Credit</v>
      </c>
      <c r="F105" s="46">
        <v>0</v>
      </c>
      <c r="G105" s="46">
        <v>2000</v>
      </c>
    </row>
    <row r="106" spans="1:7" x14ac:dyDescent="0.25">
      <c r="A106" s="40">
        <v>45869</v>
      </c>
      <c r="B106">
        <v>1020</v>
      </c>
      <c r="C106">
        <v>13010</v>
      </c>
      <c r="D106">
        <v>30910</v>
      </c>
      <c r="E106" t="str">
        <v>Accrued Salary Cost</v>
      </c>
      <c r="F106" s="46">
        <v>3000</v>
      </c>
      <c r="G106" s="46">
        <v>0</v>
      </c>
    </row>
    <row r="107" spans="1:7" x14ac:dyDescent="0.25">
      <c r="A107" s="40">
        <v>45900</v>
      </c>
      <c r="B107">
        <v>1020</v>
      </c>
      <c r="C107">
        <v>13010</v>
      </c>
      <c r="D107">
        <v>20100</v>
      </c>
      <c r="E107" t="str">
        <v>Salary Overpayment Credit</v>
      </c>
      <c r="F107" s="46">
        <v>0</v>
      </c>
      <c r="G107" s="46">
        <v>5000</v>
      </c>
    </row>
    <row r="108" spans="1:7" x14ac:dyDescent="0.25">
      <c r="A108" s="40">
        <v>45930</v>
      </c>
      <c r="B108">
        <v>1020</v>
      </c>
      <c r="C108">
        <v>13010</v>
      </c>
      <c r="D108">
        <v>20100</v>
      </c>
      <c r="E108" t="str">
        <v>Salary Overpayment Credit</v>
      </c>
      <c r="F108" s="46">
        <v>0</v>
      </c>
      <c r="G108" s="46">
        <v>3000</v>
      </c>
    </row>
    <row r="109" spans="1:7" x14ac:dyDescent="0.25">
      <c r="A109" s="40">
        <v>45961</v>
      </c>
      <c r="B109">
        <v>1020</v>
      </c>
      <c r="C109">
        <v>13010</v>
      </c>
      <c r="D109">
        <v>20100</v>
      </c>
      <c r="E109" t="str">
        <v>Salary Overpayment Credit</v>
      </c>
      <c r="F109" s="46">
        <v>0</v>
      </c>
      <c r="G109" s="46">
        <v>1000</v>
      </c>
    </row>
    <row r="200" spans="1:7" x14ac:dyDescent="0.25">
      <c r="A200" s="75" t="s">
        <v>83</v>
      </c>
      <c r="B200" s="75"/>
      <c r="C200" s="75"/>
      <c r="D200" s="75"/>
      <c r="E200" s="75"/>
      <c r="F200" s="75"/>
      <c r="G200" s="75"/>
    </row>
    <row r="201" spans="1:7" x14ac:dyDescent="0.25">
      <c r="A201" s="42" t="s">
        <v>0</v>
      </c>
      <c r="B201" s="42" t="s">
        <v>18</v>
      </c>
      <c r="C201" s="42" t="s">
        <v>19</v>
      </c>
      <c r="D201" s="42" t="s">
        <v>20</v>
      </c>
      <c r="E201" s="42" t="s">
        <v>21</v>
      </c>
      <c r="F201" s="42" t="s">
        <v>22</v>
      </c>
      <c r="G201" s="42" t="s">
        <v>23</v>
      </c>
    </row>
    <row r="202" spans="1:7" x14ac:dyDescent="0.25">
      <c r="A202" s="40" cm="1">
        <f t="array" ref="A202:G209">_xlfn.HSTACK(_xlfn.ANCHORARRAY($A6),_xlfn.ANCHORARRAY($B6),_xlfn.ANCHORARRAY($C6),IF(_xlfn.ANCHORARRAY($H6)&gt;=0,40722,50102),IF(_xlfn.ANCHORARRAY($H6)&gt;=0,"Unpaid Salary Accrual","Salary Overpayment Prepayment"),IF(_xlfn.ANCHORARRAY($H6)&lt;0,-_xlfn.ANCHORARRAY($H6),0),IF(_xlfn.ANCHORARRAY($H6)&gt;0,_xlfn.ANCHORARRAY($H6),0))</f>
        <v>45869</v>
      </c>
      <c r="B202">
        <v>1034</v>
      </c>
      <c r="C202">
        <v>14020</v>
      </c>
      <c r="D202">
        <v>40722</v>
      </c>
      <c r="E202" t="str">
        <v>Unpaid Salary Accrual</v>
      </c>
      <c r="F202" s="46">
        <v>0</v>
      </c>
      <c r="G202" s="46">
        <v>5000</v>
      </c>
    </row>
    <row r="203" spans="1:7" x14ac:dyDescent="0.25">
      <c r="A203" s="40">
        <v>45900</v>
      </c>
      <c r="B203">
        <v>1034</v>
      </c>
      <c r="C203">
        <v>14020</v>
      </c>
      <c r="D203">
        <v>40722</v>
      </c>
      <c r="E203" t="str">
        <v>Unpaid Salary Accrual</v>
      </c>
      <c r="F203" s="46">
        <v>0</v>
      </c>
      <c r="G203" s="46">
        <v>3000</v>
      </c>
    </row>
    <row r="204" spans="1:7" x14ac:dyDescent="0.25">
      <c r="A204" s="40">
        <v>45930</v>
      </c>
      <c r="B204">
        <v>1034</v>
      </c>
      <c r="C204">
        <v>14020</v>
      </c>
      <c r="D204">
        <v>40722</v>
      </c>
      <c r="E204" t="str">
        <v>Unpaid Salary Accrual</v>
      </c>
      <c r="F204" s="46">
        <v>0</v>
      </c>
      <c r="G204" s="46">
        <v>7000</v>
      </c>
    </row>
    <row r="205" spans="1:7" x14ac:dyDescent="0.25">
      <c r="A205" s="40">
        <v>45961</v>
      </c>
      <c r="B205">
        <v>1034</v>
      </c>
      <c r="C205">
        <v>14020</v>
      </c>
      <c r="D205">
        <v>50102</v>
      </c>
      <c r="E205" t="str">
        <v>Salary Overpayment Prepayment</v>
      </c>
      <c r="F205" s="46">
        <v>2000</v>
      </c>
      <c r="G205" s="46">
        <v>0</v>
      </c>
    </row>
    <row r="206" spans="1:7" x14ac:dyDescent="0.25">
      <c r="A206" s="40">
        <v>45869</v>
      </c>
      <c r="B206">
        <v>1020</v>
      </c>
      <c r="C206">
        <v>13010</v>
      </c>
      <c r="D206">
        <v>40722</v>
      </c>
      <c r="E206" t="str">
        <v>Unpaid Salary Accrual</v>
      </c>
      <c r="F206" s="46">
        <v>0</v>
      </c>
      <c r="G206" s="46">
        <v>3000</v>
      </c>
    </row>
    <row r="207" spans="1:7" x14ac:dyDescent="0.25">
      <c r="A207" s="40">
        <v>45900</v>
      </c>
      <c r="B207">
        <v>1020</v>
      </c>
      <c r="C207">
        <v>13010</v>
      </c>
      <c r="D207">
        <v>50102</v>
      </c>
      <c r="E207" t="str">
        <v>Salary Overpayment Prepayment</v>
      </c>
      <c r="F207" s="46">
        <v>5000</v>
      </c>
      <c r="G207" s="46">
        <v>0</v>
      </c>
    </row>
    <row r="208" spans="1:7" x14ac:dyDescent="0.25">
      <c r="A208" s="40">
        <v>45930</v>
      </c>
      <c r="B208">
        <v>1020</v>
      </c>
      <c r="C208">
        <v>13010</v>
      </c>
      <c r="D208">
        <v>50102</v>
      </c>
      <c r="E208" t="str">
        <v>Salary Overpayment Prepayment</v>
      </c>
      <c r="F208" s="46">
        <v>3000</v>
      </c>
      <c r="G208" s="46">
        <v>0</v>
      </c>
    </row>
    <row r="209" spans="1:7" x14ac:dyDescent="0.25">
      <c r="A209" s="40">
        <v>45961</v>
      </c>
      <c r="B209">
        <v>1020</v>
      </c>
      <c r="C209">
        <v>13010</v>
      </c>
      <c r="D209">
        <v>50102</v>
      </c>
      <c r="E209" t="str">
        <v>Salary Overpayment Prepayment</v>
      </c>
      <c r="F209" s="46">
        <v>1000</v>
      </c>
      <c r="G209" s="46">
        <v>0</v>
      </c>
    </row>
    <row r="300" spans="1:7" x14ac:dyDescent="0.25">
      <c r="A300" s="76" t="s">
        <v>98</v>
      </c>
      <c r="B300" s="76"/>
      <c r="C300" s="76"/>
      <c r="D300" s="76"/>
      <c r="E300" s="76"/>
      <c r="F300" s="76"/>
      <c r="G300" s="76"/>
    </row>
    <row r="301" spans="1:7" x14ac:dyDescent="0.25">
      <c r="A301" s="42" t="s">
        <v>0</v>
      </c>
      <c r="B301" s="42" t="s">
        <v>18</v>
      </c>
      <c r="C301" s="42" t="s">
        <v>19</v>
      </c>
      <c r="D301" s="42" t="s">
        <v>20</v>
      </c>
      <c r="E301" s="42" t="s">
        <v>21</v>
      </c>
      <c r="F301" s="42" t="s">
        <v>22</v>
      </c>
      <c r="G301" s="42" t="s">
        <v>23</v>
      </c>
    </row>
    <row r="302" spans="1:7" x14ac:dyDescent="0.25">
      <c r="A302" s="40" cm="1">
        <f t="array" ref="A302:G317">_xlfn.VSTACK(_xlfn.ANCHORARRAY($A102),_xlfn.ANCHORARRAY($A202))</f>
        <v>45869</v>
      </c>
      <c r="B302">
        <v>1034</v>
      </c>
      <c r="C302">
        <v>14020</v>
      </c>
      <c r="D302">
        <v>30910</v>
      </c>
      <c r="E302" t="str">
        <v>Accrued Salary Cost</v>
      </c>
      <c r="F302" s="46">
        <v>5000</v>
      </c>
      <c r="G302" s="46">
        <v>0</v>
      </c>
    </row>
    <row r="303" spans="1:7" x14ac:dyDescent="0.25">
      <c r="A303" s="40">
        <v>45900</v>
      </c>
      <c r="B303">
        <v>1034</v>
      </c>
      <c r="C303">
        <v>14020</v>
      </c>
      <c r="D303">
        <v>30910</v>
      </c>
      <c r="E303" t="str">
        <v>Accrued Salary Cost</v>
      </c>
      <c r="F303" s="46">
        <v>3000</v>
      </c>
      <c r="G303" s="46">
        <v>0</v>
      </c>
    </row>
    <row r="304" spans="1:7" x14ac:dyDescent="0.25">
      <c r="A304" s="40">
        <v>45930</v>
      </c>
      <c r="B304">
        <v>1034</v>
      </c>
      <c r="C304">
        <v>14020</v>
      </c>
      <c r="D304">
        <v>30910</v>
      </c>
      <c r="E304" t="str">
        <v>Accrued Salary Cost</v>
      </c>
      <c r="F304" s="46">
        <v>7000</v>
      </c>
      <c r="G304" s="46">
        <v>0</v>
      </c>
    </row>
    <row r="305" spans="1:7" x14ac:dyDescent="0.25">
      <c r="A305" s="40">
        <v>45961</v>
      </c>
      <c r="B305">
        <v>1034</v>
      </c>
      <c r="C305">
        <v>14020</v>
      </c>
      <c r="D305">
        <v>20100</v>
      </c>
      <c r="E305" t="str">
        <v>Salary Overpayment Credit</v>
      </c>
      <c r="F305" s="46">
        <v>0</v>
      </c>
      <c r="G305" s="46">
        <v>2000</v>
      </c>
    </row>
    <row r="306" spans="1:7" x14ac:dyDescent="0.25">
      <c r="A306" s="40">
        <v>45869</v>
      </c>
      <c r="B306">
        <v>1020</v>
      </c>
      <c r="C306">
        <v>13010</v>
      </c>
      <c r="D306">
        <v>30910</v>
      </c>
      <c r="E306" t="str">
        <v>Accrued Salary Cost</v>
      </c>
      <c r="F306" s="46">
        <v>3000</v>
      </c>
      <c r="G306" s="46">
        <v>0</v>
      </c>
    </row>
    <row r="307" spans="1:7" x14ac:dyDescent="0.25">
      <c r="A307" s="40">
        <v>45900</v>
      </c>
      <c r="B307">
        <v>1020</v>
      </c>
      <c r="C307">
        <v>13010</v>
      </c>
      <c r="D307">
        <v>20100</v>
      </c>
      <c r="E307" t="str">
        <v>Salary Overpayment Credit</v>
      </c>
      <c r="F307" s="46">
        <v>0</v>
      </c>
      <c r="G307" s="46">
        <v>5000</v>
      </c>
    </row>
    <row r="308" spans="1:7" x14ac:dyDescent="0.25">
      <c r="A308" s="40">
        <v>45930</v>
      </c>
      <c r="B308">
        <v>1020</v>
      </c>
      <c r="C308">
        <v>13010</v>
      </c>
      <c r="D308">
        <v>20100</v>
      </c>
      <c r="E308" t="str">
        <v>Salary Overpayment Credit</v>
      </c>
      <c r="F308" s="46">
        <v>0</v>
      </c>
      <c r="G308" s="46">
        <v>3000</v>
      </c>
    </row>
    <row r="309" spans="1:7" x14ac:dyDescent="0.25">
      <c r="A309" s="40">
        <v>45961</v>
      </c>
      <c r="B309">
        <v>1020</v>
      </c>
      <c r="C309">
        <v>13010</v>
      </c>
      <c r="D309">
        <v>20100</v>
      </c>
      <c r="E309" t="str">
        <v>Salary Overpayment Credit</v>
      </c>
      <c r="F309" s="46">
        <v>0</v>
      </c>
      <c r="G309" s="46">
        <v>1000</v>
      </c>
    </row>
    <row r="310" spans="1:7" x14ac:dyDescent="0.25">
      <c r="A310" s="40">
        <v>45869</v>
      </c>
      <c r="B310">
        <v>1034</v>
      </c>
      <c r="C310">
        <v>14020</v>
      </c>
      <c r="D310">
        <v>40722</v>
      </c>
      <c r="E310" t="str">
        <v>Unpaid Salary Accrual</v>
      </c>
      <c r="F310" s="46">
        <v>0</v>
      </c>
      <c r="G310" s="46">
        <v>5000</v>
      </c>
    </row>
    <row r="311" spans="1:7" x14ac:dyDescent="0.25">
      <c r="A311" s="40">
        <v>45900</v>
      </c>
      <c r="B311">
        <v>1034</v>
      </c>
      <c r="C311">
        <v>14020</v>
      </c>
      <c r="D311">
        <v>40722</v>
      </c>
      <c r="E311" t="str">
        <v>Unpaid Salary Accrual</v>
      </c>
      <c r="F311" s="46">
        <v>0</v>
      </c>
      <c r="G311" s="46">
        <v>3000</v>
      </c>
    </row>
    <row r="312" spans="1:7" x14ac:dyDescent="0.25">
      <c r="A312" s="40">
        <v>45930</v>
      </c>
      <c r="B312">
        <v>1034</v>
      </c>
      <c r="C312">
        <v>14020</v>
      </c>
      <c r="D312">
        <v>40722</v>
      </c>
      <c r="E312" t="str">
        <v>Unpaid Salary Accrual</v>
      </c>
      <c r="F312" s="46">
        <v>0</v>
      </c>
      <c r="G312" s="46">
        <v>7000</v>
      </c>
    </row>
    <row r="313" spans="1:7" x14ac:dyDescent="0.25">
      <c r="A313" s="40">
        <v>45961</v>
      </c>
      <c r="B313">
        <v>1034</v>
      </c>
      <c r="C313">
        <v>14020</v>
      </c>
      <c r="D313">
        <v>50102</v>
      </c>
      <c r="E313" t="str">
        <v>Salary Overpayment Prepayment</v>
      </c>
      <c r="F313" s="46">
        <v>2000</v>
      </c>
      <c r="G313" s="46">
        <v>0</v>
      </c>
    </row>
    <row r="314" spans="1:7" x14ac:dyDescent="0.25">
      <c r="A314" s="40">
        <v>45869</v>
      </c>
      <c r="B314">
        <v>1020</v>
      </c>
      <c r="C314">
        <v>13010</v>
      </c>
      <c r="D314">
        <v>40722</v>
      </c>
      <c r="E314" t="str">
        <v>Unpaid Salary Accrual</v>
      </c>
      <c r="F314" s="46">
        <v>0</v>
      </c>
      <c r="G314" s="46">
        <v>3000</v>
      </c>
    </row>
    <row r="315" spans="1:7" x14ac:dyDescent="0.25">
      <c r="A315" s="40">
        <v>45900</v>
      </c>
      <c r="B315">
        <v>1020</v>
      </c>
      <c r="C315">
        <v>13010</v>
      </c>
      <c r="D315">
        <v>50102</v>
      </c>
      <c r="E315" t="str">
        <v>Salary Overpayment Prepayment</v>
      </c>
      <c r="F315" s="46">
        <v>5000</v>
      </c>
      <c r="G315" s="46">
        <v>0</v>
      </c>
    </row>
    <row r="316" spans="1:7" x14ac:dyDescent="0.25">
      <c r="A316" s="40">
        <v>45930</v>
      </c>
      <c r="B316">
        <v>1020</v>
      </c>
      <c r="C316">
        <v>13010</v>
      </c>
      <c r="D316">
        <v>50102</v>
      </c>
      <c r="E316" t="str">
        <v>Salary Overpayment Prepayment</v>
      </c>
      <c r="F316" s="46">
        <v>3000</v>
      </c>
      <c r="G316" s="46">
        <v>0</v>
      </c>
    </row>
    <row r="317" spans="1:7" x14ac:dyDescent="0.25">
      <c r="A317" s="40">
        <v>45961</v>
      </c>
      <c r="B317">
        <v>1020</v>
      </c>
      <c r="C317">
        <v>13010</v>
      </c>
      <c r="D317">
        <v>50102</v>
      </c>
      <c r="E317" t="str">
        <v>Salary Overpayment Prepayment</v>
      </c>
      <c r="F317" s="46">
        <v>1000</v>
      </c>
      <c r="G317" s="46">
        <v>0</v>
      </c>
    </row>
    <row r="400" spans="1:7" x14ac:dyDescent="0.25">
      <c r="A400" s="74" t="s">
        <v>58</v>
      </c>
      <c r="B400" s="74"/>
      <c r="C400" s="74"/>
      <c r="D400" s="74"/>
      <c r="E400" s="74"/>
      <c r="F400" s="74"/>
      <c r="G400" s="74"/>
    </row>
    <row r="401" spans="1:6" x14ac:dyDescent="0.25">
      <c r="A401"/>
      <c r="E401" s="48" t="s">
        <v>99</v>
      </c>
      <c r="F401" s="49">
        <f>SUM(INDEX(_xlfn.ANCHORARRAY(A302),,6))</f>
        <v>29000</v>
      </c>
    </row>
    <row r="402" spans="1:6" x14ac:dyDescent="0.25">
      <c r="A402"/>
      <c r="E402" s="48" t="s">
        <v>100</v>
      </c>
      <c r="F402" s="49">
        <f>SUM(INDEX(_xlfn.ANCHORARRAY(A302),,7))</f>
        <v>29000</v>
      </c>
    </row>
    <row r="403" spans="1:6" x14ac:dyDescent="0.25">
      <c r="A403"/>
      <c r="E403" s="48" t="s">
        <v>43</v>
      </c>
      <c r="F403" s="49">
        <f>F401-F402</f>
        <v>0</v>
      </c>
    </row>
    <row r="404" spans="1:6" x14ac:dyDescent="0.25">
      <c r="A404"/>
      <c r="E404" s="48" t="s">
        <v>101</v>
      </c>
      <c r="F404" s="60" t="str">
        <f>IF(ABS(F403)&lt;0.005,"BALANCED","OUT OF BALANCE")</f>
        <v>BALANCED</v>
      </c>
    </row>
    <row r="405" spans="1:6" x14ac:dyDescent="0.25">
      <c r="A405"/>
      <c r="E405" s="48" t="s">
        <v>113</v>
      </c>
      <c r="F405" s="60">
        <f>ROWS(_xlfn.ANCHORARRAY(A302))</f>
        <v>16</v>
      </c>
    </row>
  </sheetData>
  <mergeCells count="7">
    <mergeCell ref="A400:G400"/>
    <mergeCell ref="A1:G1"/>
    <mergeCell ref="A2:G2"/>
    <mergeCell ref="A4:G4"/>
    <mergeCell ref="A100:G100"/>
    <mergeCell ref="A200:G200"/>
    <mergeCell ref="A300:G300"/>
  </mergeCells>
  <conditionalFormatting sqref="F404">
    <cfRule type="cellIs" dxfId="1" priority="1" operator="equal">
      <formula>"BALANCED"</formula>
    </cfRule>
    <cfRule type="cellIs" dxfId="0" priority="2" operator="equal">
      <formula>"OUT OF BALANCE"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22532-10C7-4CC9-9956-C49CE40B8705}">
  <dimension ref="A1:F7"/>
  <sheetViews>
    <sheetView workbookViewId="0"/>
  </sheetViews>
  <sheetFormatPr defaultColWidth="8.875" defaultRowHeight="15.75" x14ac:dyDescent="0.25"/>
  <cols>
    <col min="1" max="6" width="33.375" customWidth="1"/>
  </cols>
  <sheetData>
    <row r="1" spans="1:6" x14ac:dyDescent="0.25">
      <c r="A1" s="42" t="s">
        <v>64</v>
      </c>
      <c r="B1" s="42" t="s">
        <v>65</v>
      </c>
      <c r="C1" s="42" t="s">
        <v>66</v>
      </c>
      <c r="D1" s="42" t="s">
        <v>67</v>
      </c>
      <c r="E1" s="42" t="s">
        <v>68</v>
      </c>
      <c r="F1" s="42" t="s">
        <v>69</v>
      </c>
    </row>
    <row r="2" spans="1:6" x14ac:dyDescent="0.25">
      <c r="A2">
        <v>1</v>
      </c>
      <c r="B2" s="40">
        <v>46152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>
        <v>2</v>
      </c>
      <c r="B3" s="40">
        <v>46152</v>
      </c>
      <c r="C3" t="s">
        <v>91</v>
      </c>
      <c r="D3" t="s">
        <v>92</v>
      </c>
      <c r="E3" t="s">
        <v>93</v>
      </c>
      <c r="F3" t="s">
        <v>94</v>
      </c>
    </row>
    <row r="4" spans="1:6" x14ac:dyDescent="0.25">
      <c r="A4">
        <v>3</v>
      </c>
      <c r="B4" s="40">
        <v>46152</v>
      </c>
      <c r="C4" t="s">
        <v>102</v>
      </c>
      <c r="D4" t="s">
        <v>103</v>
      </c>
      <c r="E4" t="s">
        <v>104</v>
      </c>
      <c r="F4" t="s">
        <v>105</v>
      </c>
    </row>
    <row r="5" spans="1:6" x14ac:dyDescent="0.25">
      <c r="A5">
        <v>4</v>
      </c>
      <c r="B5" s="40">
        <v>46152</v>
      </c>
      <c r="C5" t="s">
        <v>114</v>
      </c>
      <c r="D5" t="s">
        <v>115</v>
      </c>
      <c r="E5" t="s">
        <v>116</v>
      </c>
      <c r="F5" t="s">
        <v>117</v>
      </c>
    </row>
    <row r="6" spans="1:6" x14ac:dyDescent="0.25">
      <c r="A6">
        <v>5</v>
      </c>
      <c r="B6" s="40">
        <v>46152</v>
      </c>
      <c r="C6" t="s">
        <v>250</v>
      </c>
      <c r="D6" t="s">
        <v>251</v>
      </c>
      <c r="E6" t="s">
        <v>252</v>
      </c>
      <c r="F6" t="s">
        <v>253</v>
      </c>
    </row>
    <row r="7" spans="1:6" x14ac:dyDescent="0.25">
      <c r="A7">
        <v>6</v>
      </c>
      <c r="B7" s="40">
        <v>46152</v>
      </c>
      <c r="C7" t="s">
        <v>254</v>
      </c>
      <c r="D7" t="s">
        <v>255</v>
      </c>
      <c r="E7" t="s">
        <v>256</v>
      </c>
      <c r="F7" t="s">
        <v>257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ABCE4-94E5-4703-ACD5-050C8EADF4CC}">
  <dimension ref="A1:V5"/>
  <sheetViews>
    <sheetView tabSelected="1" workbookViewId="0">
      <selection activeCell="I4" sqref="I4"/>
    </sheetView>
  </sheetViews>
  <sheetFormatPr defaultColWidth="8.875" defaultRowHeight="15.75" x14ac:dyDescent="0.25"/>
  <cols>
    <col min="1" max="1" width="9.625" bestFit="1" customWidth="1"/>
    <col min="2" max="2" width="8.625" bestFit="1" customWidth="1"/>
    <col min="3" max="3" width="11.625" bestFit="1" customWidth="1"/>
    <col min="4" max="4" width="17.125" bestFit="1" customWidth="1"/>
    <col min="5" max="5" width="13.375" bestFit="1" customWidth="1"/>
    <col min="6" max="6" width="10.5" bestFit="1" customWidth="1"/>
    <col min="7" max="8" width="10.5" customWidth="1"/>
    <col min="9" max="9" width="18.875" customWidth="1"/>
    <col min="10" max="10" width="15.625" customWidth="1"/>
    <col min="11" max="11" width="15.125" customWidth="1"/>
    <col min="12" max="12" width="15.625" customWidth="1"/>
  </cols>
  <sheetData>
    <row r="1" spans="1:22" x14ac:dyDescent="0.25">
      <c r="I1" s="10" t="s">
        <v>41</v>
      </c>
      <c r="N1" s="10" t="s">
        <v>42</v>
      </c>
      <c r="S1" s="10" t="s">
        <v>43</v>
      </c>
    </row>
    <row r="3" spans="1:22" x14ac:dyDescent="0.25">
      <c r="A3" s="16" t="s">
        <v>35</v>
      </c>
      <c r="B3" s="17" t="s">
        <v>36</v>
      </c>
      <c r="C3" s="17" t="s">
        <v>34</v>
      </c>
      <c r="D3" s="17" t="s">
        <v>27</v>
      </c>
      <c r="E3" s="17" t="s">
        <v>29</v>
      </c>
      <c r="F3" s="18" t="s">
        <v>19</v>
      </c>
      <c r="G3" s="33"/>
      <c r="H3" s="34" t="s">
        <v>48</v>
      </c>
      <c r="I3" s="34" t="s">
        <v>13</v>
      </c>
      <c r="J3" s="34" t="s">
        <v>15</v>
      </c>
      <c r="K3" s="34" t="s">
        <v>16</v>
      </c>
      <c r="L3" s="34" t="s">
        <v>17</v>
      </c>
      <c r="M3" s="35"/>
      <c r="N3" s="34" t="s">
        <v>13</v>
      </c>
      <c r="O3" s="34" t="s">
        <v>15</v>
      </c>
      <c r="P3" s="34" t="s">
        <v>16</v>
      </c>
      <c r="Q3" s="34" t="s">
        <v>17</v>
      </c>
      <c r="R3" s="35"/>
      <c r="S3" s="34" t="s">
        <v>13</v>
      </c>
      <c r="T3" s="34" t="s">
        <v>15</v>
      </c>
      <c r="U3" s="34" t="s">
        <v>16</v>
      </c>
      <c r="V3" s="34" t="s">
        <v>17</v>
      </c>
    </row>
    <row r="4" spans="1:22" x14ac:dyDescent="0.25">
      <c r="A4" s="19" t="str" cm="1">
        <f t="array" ref="A4:F5">tblStaffList[]</f>
        <v>John</v>
      </c>
      <c r="B4" s="19" t="str">
        <v>Smith</v>
      </c>
      <c r="C4" s="19">
        <v>45556</v>
      </c>
      <c r="D4" s="19" t="str">
        <v>Financial Controller</v>
      </c>
      <c r="E4" s="19">
        <v>1034</v>
      </c>
      <c r="F4" s="19">
        <v>14020</v>
      </c>
      <c r="H4" t="str">
        <f>E4&amp;"_"&amp;F4</f>
        <v>1034_14020</v>
      </c>
      <c r="I4" s="35">
        <f>SUMIFS(tblGeneralLedger[Amount],tblGeneralLedger[Period],Calcs_Original!I$3,tblGeneralLedger[Description],"Salary for " &amp; $D4 &amp; "*")</f>
        <v>10000</v>
      </c>
      <c r="J4" s="35">
        <f>SUMIFS(tblGeneralLedger[Amount],tblGeneralLedger[Period],Calcs_Original!J$3,tblGeneralLedger[Description],"Salary for " &amp; $D4 &amp; "*")</f>
        <v>10000</v>
      </c>
      <c r="K4" s="35">
        <f>SUMIFS(tblGeneralLedger[Amount],tblGeneralLedger[Period],Calcs_Original!K$3,tblGeneralLedger[Description],"Salary for " &amp; $D4 &amp; "*")</f>
        <v>10000</v>
      </c>
      <c r="L4" s="35">
        <f>SUMIFS(tblGeneralLedger[Amount],tblGeneralLedger[Period],Calcs_Original!L$3,tblGeneralLedger[Description],"Salary for " &amp; $D4 &amp; "*")</f>
        <v>10000</v>
      </c>
      <c r="M4" s="35"/>
      <c r="N4" s="35">
        <f>SUMIFS(tblBankStatement[Bank account amt],tblBankStatement[Period],N$3,tblBankStatement[Text],"Salary Payment-" &amp; $A4 &amp; " " &amp; $B4)</f>
        <v>5000</v>
      </c>
      <c r="O4" s="35">
        <f>SUMIFS(tblBankStatement[Bank account amt],tblBankStatement[Period],O$3,tblBankStatement[Text],"Salary Payment-" &amp; $A4 &amp; " " &amp; $B4)</f>
        <v>7000</v>
      </c>
      <c r="P4" s="35">
        <f>SUMIFS(tblBankStatement[Bank account amt],tblBankStatement[Period],P$3,tblBankStatement[Text],"Salary Payment-" &amp; $A4 &amp; " " &amp; $B4)</f>
        <v>3000</v>
      </c>
      <c r="Q4" s="35">
        <f>SUMIFS(tblBankStatement[Bank account amt],tblBankStatement[Period],Q$3,tblBankStatement[Text],"Salary Payment-" &amp; $A4 &amp; " " &amp; $B4)</f>
        <v>12000</v>
      </c>
      <c r="R4" s="35"/>
      <c r="S4" s="35">
        <f>I4-N4</f>
        <v>5000</v>
      </c>
      <c r="T4" s="35">
        <f t="shared" ref="T4:T5" si="0">J4-O4</f>
        <v>3000</v>
      </c>
      <c r="U4" s="35">
        <f t="shared" ref="U4:U5" si="1">K4-P4</f>
        <v>7000</v>
      </c>
      <c r="V4" s="35">
        <f t="shared" ref="V4:V5" si="2">L4-Q4</f>
        <v>-2000</v>
      </c>
    </row>
    <row r="5" spans="1:22" x14ac:dyDescent="0.25">
      <c r="A5" s="19" t="str">
        <v>Jane</v>
      </c>
      <c r="B5" s="19" t="str">
        <v>Meadows</v>
      </c>
      <c r="C5" s="19">
        <v>78543</v>
      </c>
      <c r="D5" s="19" t="str">
        <v>Financial Analyst</v>
      </c>
      <c r="E5" s="19">
        <v>1020</v>
      </c>
      <c r="F5" s="19">
        <v>13010</v>
      </c>
      <c r="H5" t="str">
        <f>E5&amp;"_"&amp;F5</f>
        <v>1020_13010</v>
      </c>
      <c r="I5" s="35">
        <f>SUMIFS(tblGeneralLedger[Amount],tblGeneralLedger[Period],Calcs_Original!I$3,tblGeneralLedger[Description],"Salary for " &amp; $D5 &amp; "*")</f>
        <v>5000</v>
      </c>
      <c r="J5" s="35">
        <f>SUMIFS(tblGeneralLedger[Amount],tblGeneralLedger[Period],Calcs_Original!J$3,tblGeneralLedger[Description],"Salary for " &amp; $D5 &amp; "*")</f>
        <v>5000</v>
      </c>
      <c r="K5" s="35">
        <f>SUMIFS(tblGeneralLedger[Amount],tblGeneralLedger[Period],Calcs_Original!K$3,tblGeneralLedger[Description],"Salary for " &amp; $D5 &amp; "*")</f>
        <v>5000</v>
      </c>
      <c r="L5" s="35">
        <f>SUMIFS(tblGeneralLedger[Amount],tblGeneralLedger[Period],Calcs_Original!L$3,tblGeneralLedger[Description],"Salary for " &amp; $D5 &amp; "*")</f>
        <v>5000</v>
      </c>
      <c r="M5" s="35"/>
      <c r="N5" s="35">
        <f>SUMIFS(tblBankStatement[Bank account amt],tblBankStatement[Period],N$3,tblBankStatement[Text],"Salary Payment-" &amp; $A5 &amp; " " &amp; $B5)</f>
        <v>2000</v>
      </c>
      <c r="O5" s="35">
        <f>SUMIFS(tblBankStatement[Bank account amt],tblBankStatement[Period],O$3,tblBankStatement[Text],"Salary Payment-" &amp; $A5 &amp; " " &amp; $B5)</f>
        <v>10000</v>
      </c>
      <c r="P5" s="35">
        <f>SUMIFS(tblBankStatement[Bank account amt],tblBankStatement[Period],P$3,tblBankStatement[Text],"Salary Payment-" &amp; $A5 &amp; " " &amp; $B5)</f>
        <v>8000</v>
      </c>
      <c r="Q5" s="35">
        <f>SUMIFS(tblBankStatement[Bank account amt],tblBankStatement[Period],Q$3,tblBankStatement[Text],"Salary Payment-" &amp; $A5 &amp; " " &amp; $B5)</f>
        <v>6000</v>
      </c>
      <c r="R5" s="35"/>
      <c r="S5" s="35">
        <f t="shared" ref="S5" si="3">I5-N5</f>
        <v>3000</v>
      </c>
      <c r="T5" s="35">
        <f t="shared" si="0"/>
        <v>-5000</v>
      </c>
      <c r="U5" s="35">
        <f t="shared" si="1"/>
        <v>-3000</v>
      </c>
      <c r="V5" s="35">
        <f t="shared" si="2"/>
        <v>-1000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197B6-7A78-5846-8B68-E038B1B8DC2E}">
  <dimension ref="A2:I93"/>
  <sheetViews>
    <sheetView topLeftCell="B29" zoomScale="132" workbookViewId="0">
      <selection activeCell="F36" sqref="F36:F38"/>
    </sheetView>
  </sheetViews>
  <sheetFormatPr defaultColWidth="11" defaultRowHeight="15.75" x14ac:dyDescent="0.25"/>
  <cols>
    <col min="2" max="2" width="8.875" bestFit="1" customWidth="1"/>
    <col min="3" max="3" width="11" bestFit="1" customWidth="1"/>
    <col min="4" max="4" width="8" bestFit="1" customWidth="1"/>
    <col min="5" max="5" width="26.375" bestFit="1" customWidth="1"/>
    <col min="6" max="7" width="12.125" bestFit="1" customWidth="1"/>
    <col min="8" max="8" width="16" bestFit="1" customWidth="1"/>
    <col min="9" max="9" width="30" style="31" bestFit="1" customWidth="1"/>
  </cols>
  <sheetData>
    <row r="2" spans="1:9" x14ac:dyDescent="0.25">
      <c r="I2" s="32" t="s">
        <v>47</v>
      </c>
    </row>
    <row r="3" spans="1:9" x14ac:dyDescent="0.25">
      <c r="A3" s="9" t="s">
        <v>46</v>
      </c>
    </row>
    <row r="4" spans="1:9" x14ac:dyDescent="0.25">
      <c r="I4" s="32" t="s">
        <v>49</v>
      </c>
    </row>
    <row r="5" spans="1:9" x14ac:dyDescent="0.25">
      <c r="A5" s="36" t="s">
        <v>50</v>
      </c>
      <c r="I5" s="32"/>
    </row>
    <row r="7" spans="1:9" x14ac:dyDescent="0.25">
      <c r="A7" s="9" t="s">
        <v>0</v>
      </c>
      <c r="B7" s="9" t="s">
        <v>18</v>
      </c>
      <c r="C7" s="10" t="s">
        <v>19</v>
      </c>
      <c r="D7" s="9" t="s">
        <v>20</v>
      </c>
      <c r="E7" s="9" t="s">
        <v>21</v>
      </c>
      <c r="F7" s="9" t="s">
        <v>22</v>
      </c>
      <c r="G7" s="9" t="s">
        <v>23</v>
      </c>
    </row>
    <row r="8" spans="1:9" x14ac:dyDescent="0.25">
      <c r="A8" s="3">
        <v>45839</v>
      </c>
      <c r="B8" s="29">
        <v>1034</v>
      </c>
      <c r="C8" s="27">
        <v>14020</v>
      </c>
      <c r="D8">
        <f>IF(I8&gt;0,30910,20100)</f>
        <v>30910</v>
      </c>
      <c r="E8" t="str">
        <f>IF(I8&gt;0,"Accrued Salary Cost","Salary Overpayment Credit")</f>
        <v>Accrued Salary Cost</v>
      </c>
      <c r="F8">
        <f>IF(I8&gt;0,I8,0)</f>
        <v>5000</v>
      </c>
      <c r="G8">
        <f>IF(I8&gt;0,0,ABS(I8))</f>
        <v>0</v>
      </c>
      <c r="I8" s="31">
        <f>SUM(INDEX(Calcs_Original!S:V,MATCH(Journal_Original!B8&amp;"_"&amp;Journal_Original!C8,Calcs_Original!H:H,0),MATCH(TEXT(A8,"MMM/yyyy"),Calcs_Original!S$3:V$3,0)))</f>
        <v>5000</v>
      </c>
    </row>
    <row r="9" spans="1:9" x14ac:dyDescent="0.25">
      <c r="A9" s="3">
        <v>45870</v>
      </c>
      <c r="B9" s="29">
        <v>1034</v>
      </c>
      <c r="C9" s="27">
        <v>14020</v>
      </c>
      <c r="D9">
        <f t="shared" ref="D9:D15" si="0">IF(I9&gt;0,30910,20100)</f>
        <v>30910</v>
      </c>
      <c r="E9" t="str">
        <f t="shared" ref="E9:E15" si="1">IF(I9&gt;0,"Accrued Salary Cost","Salary Overpayment Credit")</f>
        <v>Accrued Salary Cost</v>
      </c>
      <c r="F9">
        <f t="shared" ref="F9:F15" si="2">IF(I9&gt;0,I9,0)</f>
        <v>3000</v>
      </c>
      <c r="G9">
        <f t="shared" ref="G9:G15" si="3">IF(I9&gt;0,0,ABS(I9))</f>
        <v>0</v>
      </c>
      <c r="I9" s="31">
        <f>SUM(INDEX(Calcs_Original!S:V,MATCH(Journal_Original!B9&amp;"_"&amp;Journal_Original!C9,Calcs_Original!H:H,0),MATCH(TEXT(A9,"MMM/yyyy"),Calcs_Original!S$3:V$3,0)))</f>
        <v>3000</v>
      </c>
    </row>
    <row r="10" spans="1:9" x14ac:dyDescent="0.25">
      <c r="A10" s="3">
        <v>45901</v>
      </c>
      <c r="B10" s="29">
        <v>1034</v>
      </c>
      <c r="C10" s="27">
        <v>14020</v>
      </c>
      <c r="D10">
        <f t="shared" si="0"/>
        <v>30910</v>
      </c>
      <c r="E10" t="str">
        <f t="shared" si="1"/>
        <v>Accrued Salary Cost</v>
      </c>
      <c r="F10">
        <f t="shared" si="2"/>
        <v>7000</v>
      </c>
      <c r="G10">
        <f t="shared" si="3"/>
        <v>0</v>
      </c>
      <c r="I10" s="31">
        <f>SUM(INDEX(Calcs_Original!S:V,MATCH(Journal_Original!B10&amp;"_"&amp;Journal_Original!C10,Calcs_Original!H:H,0),MATCH(TEXT(A10,"MMM/yyyy"),Calcs_Original!S$3:V$3,0)))</f>
        <v>7000</v>
      </c>
    </row>
    <row r="11" spans="1:9" x14ac:dyDescent="0.25">
      <c r="A11" s="3">
        <v>45931</v>
      </c>
      <c r="B11" s="29">
        <v>1034</v>
      </c>
      <c r="C11" s="27">
        <v>14020</v>
      </c>
      <c r="D11">
        <f t="shared" si="0"/>
        <v>20100</v>
      </c>
      <c r="E11" t="str">
        <f t="shared" si="1"/>
        <v>Salary Overpayment Credit</v>
      </c>
      <c r="F11">
        <f t="shared" si="2"/>
        <v>0</v>
      </c>
      <c r="G11">
        <f t="shared" si="3"/>
        <v>2000</v>
      </c>
      <c r="I11" s="31">
        <f>SUM(INDEX(Calcs_Original!S:V,MATCH(Journal_Original!B11&amp;"_"&amp;Journal_Original!C11,Calcs_Original!H:H,0),MATCH(TEXT(A11,"MMM/yyyy"),Calcs_Original!S$3:V$3,0)))</f>
        <v>-2000</v>
      </c>
    </row>
    <row r="12" spans="1:9" x14ac:dyDescent="0.25">
      <c r="A12" s="3">
        <v>45839</v>
      </c>
      <c r="B12" s="30">
        <v>1020</v>
      </c>
      <c r="C12" s="28">
        <v>13010</v>
      </c>
      <c r="D12">
        <f t="shared" si="0"/>
        <v>30910</v>
      </c>
      <c r="E12" t="str">
        <f t="shared" si="1"/>
        <v>Accrued Salary Cost</v>
      </c>
      <c r="F12">
        <f t="shared" si="2"/>
        <v>3000</v>
      </c>
      <c r="G12">
        <f t="shared" si="3"/>
        <v>0</v>
      </c>
      <c r="I12" s="31">
        <f>SUM(INDEX(Calcs_Original!S:V,MATCH(Journal_Original!B12&amp;"_"&amp;Journal_Original!C12,Calcs_Original!H:H,0),MATCH(TEXT(A12,"MMM/yyyy"),Calcs_Original!S$3:V$3,0)))</f>
        <v>3000</v>
      </c>
    </row>
    <row r="13" spans="1:9" x14ac:dyDescent="0.25">
      <c r="A13" s="3">
        <v>45870</v>
      </c>
      <c r="B13" s="30">
        <v>1020</v>
      </c>
      <c r="C13" s="28">
        <v>13010</v>
      </c>
      <c r="D13">
        <f t="shared" si="0"/>
        <v>20100</v>
      </c>
      <c r="E13" t="str">
        <f t="shared" si="1"/>
        <v>Salary Overpayment Credit</v>
      </c>
      <c r="F13">
        <f t="shared" si="2"/>
        <v>0</v>
      </c>
      <c r="G13">
        <f t="shared" si="3"/>
        <v>5000</v>
      </c>
      <c r="I13" s="31">
        <f>SUM(INDEX(Calcs_Original!S:V,MATCH(Journal_Original!B13&amp;"_"&amp;Journal_Original!C13,Calcs_Original!H:H,0),MATCH(TEXT(A13,"MMM/yyyy"),Calcs_Original!S$3:V$3,0)))</f>
        <v>-5000</v>
      </c>
    </row>
    <row r="14" spans="1:9" x14ac:dyDescent="0.25">
      <c r="A14" s="3">
        <v>45901</v>
      </c>
      <c r="B14" s="30">
        <v>1020</v>
      </c>
      <c r="C14" s="28">
        <v>13010</v>
      </c>
      <c r="D14">
        <f t="shared" si="0"/>
        <v>20100</v>
      </c>
      <c r="E14" t="str">
        <f t="shared" si="1"/>
        <v>Salary Overpayment Credit</v>
      </c>
      <c r="F14">
        <f t="shared" si="2"/>
        <v>0</v>
      </c>
      <c r="G14">
        <f t="shared" si="3"/>
        <v>3000</v>
      </c>
      <c r="I14" s="31">
        <f>SUM(INDEX(Calcs_Original!S:V,MATCH(Journal_Original!B14&amp;"_"&amp;Journal_Original!C14,Calcs_Original!H:H,0),MATCH(TEXT(A14,"MMM/yyyy"),Calcs_Original!S$3:V$3,0)))</f>
        <v>-3000</v>
      </c>
    </row>
    <row r="15" spans="1:9" x14ac:dyDescent="0.25">
      <c r="A15" s="3">
        <v>45931</v>
      </c>
      <c r="B15" s="30">
        <v>1020</v>
      </c>
      <c r="C15" s="28">
        <v>13010</v>
      </c>
      <c r="D15">
        <f t="shared" si="0"/>
        <v>20100</v>
      </c>
      <c r="E15" t="str">
        <f t="shared" si="1"/>
        <v>Salary Overpayment Credit</v>
      </c>
      <c r="F15">
        <f t="shared" si="2"/>
        <v>0</v>
      </c>
      <c r="G15">
        <f t="shared" si="3"/>
        <v>1000</v>
      </c>
      <c r="I15" s="31">
        <f>SUM(INDEX(Calcs_Original!S:V,MATCH(Journal_Original!B15&amp;"_"&amp;Journal_Original!C15,Calcs_Original!H:H,0),MATCH(TEXT(A15,"MMM/yyyy"),Calcs_Original!S$3:V$3,0)))</f>
        <v>-1000</v>
      </c>
    </row>
    <row r="19" spans="1:9" x14ac:dyDescent="0.25">
      <c r="A19" s="36" t="s">
        <v>51</v>
      </c>
      <c r="I19" s="32"/>
    </row>
    <row r="21" spans="1:9" x14ac:dyDescent="0.25">
      <c r="A21" s="9" t="s">
        <v>0</v>
      </c>
      <c r="B21" s="9" t="s">
        <v>18</v>
      </c>
      <c r="C21" s="10" t="s">
        <v>19</v>
      </c>
      <c r="D21" s="9" t="s">
        <v>20</v>
      </c>
      <c r="E21" s="9" t="s">
        <v>21</v>
      </c>
      <c r="F21" s="9" t="s">
        <v>22</v>
      </c>
      <c r="G21" s="9" t="s">
        <v>23</v>
      </c>
    </row>
    <row r="22" spans="1:9" x14ac:dyDescent="0.25">
      <c r="A22" s="3">
        <v>45839</v>
      </c>
      <c r="B22" s="29">
        <v>1034</v>
      </c>
      <c r="C22" s="27">
        <v>14020</v>
      </c>
      <c r="D22">
        <f>IF(I22&gt;0,40722,50102)</f>
        <v>40722</v>
      </c>
      <c r="E22" t="str">
        <f>IF(I22&gt;0,"Unpaid Salary Accrual","Salary Overpayment Prepayment")</f>
        <v>Unpaid Salary Accrual</v>
      </c>
      <c r="F22">
        <f>IF(J22="IS",IF(I22&gt;0,I22,0),IF(I22&gt;0,0,ABS(I22)))</f>
        <v>0</v>
      </c>
      <c r="G22">
        <f>IF(J22="IS",IF(I22&gt;0,0,ABS(I22)),IF(I22&gt;0,ABS(I22),0))</f>
        <v>5000</v>
      </c>
      <c r="I22" s="31">
        <f>SUM(INDEX(Calcs_Original!S:V,MATCH(Journal_Original!B22&amp;"_"&amp;Journal_Original!C22,Calcs_Original!H:H,0),MATCH(TEXT(A22,"MMM/yyyy"),Calcs_Original!S$3:V$3,0)))</f>
        <v>5000</v>
      </c>
    </row>
    <row r="23" spans="1:9" x14ac:dyDescent="0.25">
      <c r="A23" s="3">
        <v>45870</v>
      </c>
      <c r="B23" s="29">
        <v>1034</v>
      </c>
      <c r="C23" s="27">
        <v>14020</v>
      </c>
      <c r="D23">
        <f t="shared" ref="D23:D29" si="4">IF(I23&gt;0,40722,50102)</f>
        <v>40722</v>
      </c>
      <c r="E23" t="str">
        <f t="shared" ref="E23:E29" si="5">IF(I23&gt;0,"Unpaid Salary Accrual","Salary Overpayment Prepayment")</f>
        <v>Unpaid Salary Accrual</v>
      </c>
      <c r="F23">
        <f t="shared" ref="F23:F29" si="6">IF(J23="IS",IF(I23&gt;0,I23,0),IF(I23&gt;0,0,ABS(I23)))</f>
        <v>0</v>
      </c>
      <c r="G23">
        <f t="shared" ref="G23:G29" si="7">IF(J23="IS",IF(I23&gt;0,0,ABS(I23)),IF(I23&gt;0,ABS(I23),0))</f>
        <v>3000</v>
      </c>
      <c r="I23" s="31">
        <f>SUM(INDEX(Calcs_Original!S:V,MATCH(Journal_Original!B23&amp;"_"&amp;Journal_Original!C23,Calcs_Original!H:H,0),MATCH(TEXT(A23,"MMM/yyyy"),Calcs_Original!S$3:V$3,0)))</f>
        <v>3000</v>
      </c>
    </row>
    <row r="24" spans="1:9" x14ac:dyDescent="0.25">
      <c r="A24" s="3">
        <v>45901</v>
      </c>
      <c r="B24" s="29">
        <v>1034</v>
      </c>
      <c r="C24" s="27">
        <v>14020</v>
      </c>
      <c r="D24">
        <f t="shared" si="4"/>
        <v>40722</v>
      </c>
      <c r="E24" t="str">
        <f t="shared" si="5"/>
        <v>Unpaid Salary Accrual</v>
      </c>
      <c r="F24">
        <f t="shared" si="6"/>
        <v>0</v>
      </c>
      <c r="G24">
        <f t="shared" si="7"/>
        <v>7000</v>
      </c>
      <c r="I24" s="31">
        <f>SUM(INDEX(Calcs_Original!S:V,MATCH(Journal_Original!B24&amp;"_"&amp;Journal_Original!C24,Calcs_Original!H:H,0),MATCH(TEXT(A24,"MMM/yyyy"),Calcs_Original!S$3:V$3,0)))</f>
        <v>7000</v>
      </c>
    </row>
    <row r="25" spans="1:9" x14ac:dyDescent="0.25">
      <c r="A25" s="3">
        <v>45931</v>
      </c>
      <c r="B25" s="29">
        <v>1034</v>
      </c>
      <c r="C25" s="27">
        <v>14020</v>
      </c>
      <c r="D25">
        <f t="shared" si="4"/>
        <v>50102</v>
      </c>
      <c r="E25" t="str">
        <f t="shared" si="5"/>
        <v>Salary Overpayment Prepayment</v>
      </c>
      <c r="F25">
        <f t="shared" si="6"/>
        <v>2000</v>
      </c>
      <c r="G25">
        <f t="shared" si="7"/>
        <v>0</v>
      </c>
      <c r="I25" s="31">
        <f>SUM(INDEX(Calcs_Original!S:V,MATCH(Journal_Original!B25&amp;"_"&amp;Journal_Original!C25,Calcs_Original!H:H,0),MATCH(TEXT(A25,"MMM/yyyy"),Calcs_Original!S$3:V$3,0)))</f>
        <v>-2000</v>
      </c>
    </row>
    <row r="26" spans="1:9" x14ac:dyDescent="0.25">
      <c r="A26" s="3">
        <v>45839</v>
      </c>
      <c r="B26" s="30">
        <v>1020</v>
      </c>
      <c r="C26" s="28">
        <v>13010</v>
      </c>
      <c r="D26">
        <f t="shared" si="4"/>
        <v>40722</v>
      </c>
      <c r="E26" t="str">
        <f t="shared" si="5"/>
        <v>Unpaid Salary Accrual</v>
      </c>
      <c r="F26">
        <f t="shared" si="6"/>
        <v>0</v>
      </c>
      <c r="G26">
        <f t="shared" si="7"/>
        <v>3000</v>
      </c>
      <c r="I26" s="31">
        <f>SUM(INDEX(Calcs_Original!S:V,MATCH(Journal_Original!B26&amp;"_"&amp;Journal_Original!C26,Calcs_Original!H:H,0),MATCH(TEXT(A26,"MMM/yyyy"),Calcs_Original!S$3:V$3,0)))</f>
        <v>3000</v>
      </c>
    </row>
    <row r="27" spans="1:9" x14ac:dyDescent="0.25">
      <c r="A27" s="3">
        <v>45870</v>
      </c>
      <c r="B27" s="30">
        <v>1020</v>
      </c>
      <c r="C27" s="28">
        <v>13010</v>
      </c>
      <c r="D27">
        <f t="shared" si="4"/>
        <v>50102</v>
      </c>
      <c r="E27" t="str">
        <f t="shared" si="5"/>
        <v>Salary Overpayment Prepayment</v>
      </c>
      <c r="F27">
        <f t="shared" si="6"/>
        <v>5000</v>
      </c>
      <c r="G27">
        <f t="shared" si="7"/>
        <v>0</v>
      </c>
      <c r="I27" s="31">
        <f>SUM(INDEX(Calcs_Original!S:V,MATCH(Journal_Original!B27&amp;"_"&amp;Journal_Original!C27,Calcs_Original!H:H,0),MATCH(TEXT(A27,"MMM/yyyy"),Calcs_Original!S$3:V$3,0)))</f>
        <v>-5000</v>
      </c>
    </row>
    <row r="28" spans="1:9" x14ac:dyDescent="0.25">
      <c r="A28" s="3">
        <v>45901</v>
      </c>
      <c r="B28" s="30">
        <v>1020</v>
      </c>
      <c r="C28" s="28">
        <v>13010</v>
      </c>
      <c r="D28">
        <f t="shared" si="4"/>
        <v>50102</v>
      </c>
      <c r="E28" t="str">
        <f t="shared" si="5"/>
        <v>Salary Overpayment Prepayment</v>
      </c>
      <c r="F28">
        <f t="shared" si="6"/>
        <v>3000</v>
      </c>
      <c r="G28">
        <f t="shared" si="7"/>
        <v>0</v>
      </c>
      <c r="I28" s="31">
        <f>SUM(INDEX(Calcs_Original!S:V,MATCH(Journal_Original!B28&amp;"_"&amp;Journal_Original!C28,Calcs_Original!H:H,0),MATCH(TEXT(A28,"MMM/yyyy"),Calcs_Original!S$3:V$3,0)))</f>
        <v>-3000</v>
      </c>
    </row>
    <row r="29" spans="1:9" x14ac:dyDescent="0.25">
      <c r="A29" s="3">
        <v>45931</v>
      </c>
      <c r="B29" s="30">
        <v>1020</v>
      </c>
      <c r="C29" s="28">
        <v>13010</v>
      </c>
      <c r="D29">
        <f t="shared" si="4"/>
        <v>50102</v>
      </c>
      <c r="E29" t="str">
        <f t="shared" si="5"/>
        <v>Salary Overpayment Prepayment</v>
      </c>
      <c r="F29">
        <f t="shared" si="6"/>
        <v>1000</v>
      </c>
      <c r="G29">
        <f t="shared" si="7"/>
        <v>0</v>
      </c>
      <c r="I29" s="31">
        <f>SUM(INDEX(Calcs_Original!S:V,MATCH(Journal_Original!B29&amp;"_"&amp;Journal_Original!C29,Calcs_Original!H:H,0),MATCH(TEXT(A29,"MMM/yyyy"),Calcs_Original!S$3:V$3,0)))</f>
        <v>-1000</v>
      </c>
    </row>
    <row r="32" spans="1:9" x14ac:dyDescent="0.25">
      <c r="A32" s="9" t="s">
        <v>52</v>
      </c>
      <c r="E32" s="39" t="s">
        <v>53</v>
      </c>
      <c r="F32" s="39">
        <f>SUM(F36:F51)</f>
        <v>29000</v>
      </c>
      <c r="G32" s="39">
        <f>SUM(G36:G51)</f>
        <v>29000</v>
      </c>
      <c r="H32" s="39" t="b">
        <f>F32=G32</f>
        <v>1</v>
      </c>
    </row>
    <row r="35" spans="1:7" x14ac:dyDescent="0.25">
      <c r="A35" s="9" t="s">
        <v>0</v>
      </c>
      <c r="B35" s="9" t="s">
        <v>18</v>
      </c>
      <c r="C35" s="10" t="s">
        <v>19</v>
      </c>
      <c r="D35" s="9" t="s">
        <v>20</v>
      </c>
      <c r="E35" s="9" t="s">
        <v>21</v>
      </c>
      <c r="F35" s="9" t="s">
        <v>22</v>
      </c>
      <c r="G35" s="9" t="s">
        <v>23</v>
      </c>
    </row>
    <row r="36" spans="1:7" x14ac:dyDescent="0.25">
      <c r="A36" s="3" t="s">
        <v>57</v>
      </c>
      <c r="B36" s="29">
        <v>1034</v>
      </c>
      <c r="C36" s="27">
        <v>14020</v>
      </c>
      <c r="D36">
        <v>30910</v>
      </c>
      <c r="E36" t="s">
        <v>24</v>
      </c>
      <c r="F36">
        <v>5000</v>
      </c>
      <c r="G36">
        <v>0</v>
      </c>
    </row>
    <row r="37" spans="1:7" x14ac:dyDescent="0.25">
      <c r="A37" s="3">
        <v>45870</v>
      </c>
      <c r="B37" s="29">
        <v>1034</v>
      </c>
      <c r="C37" s="27">
        <v>14020</v>
      </c>
      <c r="D37">
        <v>30910</v>
      </c>
      <c r="E37" t="s">
        <v>24</v>
      </c>
      <c r="F37">
        <v>3000</v>
      </c>
      <c r="G37">
        <v>0</v>
      </c>
    </row>
    <row r="38" spans="1:7" x14ac:dyDescent="0.25">
      <c r="A38" s="3">
        <v>45901</v>
      </c>
      <c r="B38" s="29">
        <v>1034</v>
      </c>
      <c r="C38" s="27">
        <v>14020</v>
      </c>
      <c r="D38">
        <v>30910</v>
      </c>
      <c r="E38" t="s">
        <v>24</v>
      </c>
      <c r="F38">
        <v>7000</v>
      </c>
      <c r="G38">
        <v>0</v>
      </c>
    </row>
    <row r="39" spans="1:7" x14ac:dyDescent="0.25">
      <c r="A39" s="3">
        <v>45931</v>
      </c>
      <c r="B39" s="29">
        <v>1034</v>
      </c>
      <c r="C39" s="27">
        <v>14020</v>
      </c>
      <c r="D39">
        <v>20100</v>
      </c>
      <c r="E39" t="s">
        <v>54</v>
      </c>
      <c r="F39">
        <v>0</v>
      </c>
      <c r="G39">
        <v>2000</v>
      </c>
    </row>
    <row r="40" spans="1:7" x14ac:dyDescent="0.25">
      <c r="A40" s="3">
        <v>45839</v>
      </c>
      <c r="B40" s="30">
        <v>1020</v>
      </c>
      <c r="C40" s="28">
        <v>13010</v>
      </c>
      <c r="D40">
        <v>30910</v>
      </c>
      <c r="E40" t="s">
        <v>24</v>
      </c>
      <c r="F40">
        <v>3000</v>
      </c>
      <c r="G40">
        <v>0</v>
      </c>
    </row>
    <row r="41" spans="1:7" x14ac:dyDescent="0.25">
      <c r="A41" s="3">
        <v>45870</v>
      </c>
      <c r="B41" s="30">
        <v>1020</v>
      </c>
      <c r="C41" s="28">
        <v>13010</v>
      </c>
      <c r="D41">
        <v>20100</v>
      </c>
      <c r="E41" t="s">
        <v>54</v>
      </c>
      <c r="F41">
        <v>0</v>
      </c>
      <c r="G41">
        <v>5000</v>
      </c>
    </row>
    <row r="42" spans="1:7" x14ac:dyDescent="0.25">
      <c r="A42" s="3">
        <v>45901</v>
      </c>
      <c r="B42" s="30">
        <v>1020</v>
      </c>
      <c r="C42" s="28">
        <v>13010</v>
      </c>
      <c r="D42">
        <v>20100</v>
      </c>
      <c r="E42" t="s">
        <v>54</v>
      </c>
      <c r="F42">
        <v>0</v>
      </c>
      <c r="G42">
        <v>3000</v>
      </c>
    </row>
    <row r="43" spans="1:7" x14ac:dyDescent="0.25">
      <c r="A43" s="3">
        <v>45931</v>
      </c>
      <c r="B43" s="30">
        <v>1020</v>
      </c>
      <c r="C43" s="28">
        <v>13010</v>
      </c>
      <c r="D43">
        <v>20100</v>
      </c>
      <c r="E43" t="s">
        <v>54</v>
      </c>
      <c r="F43">
        <v>0</v>
      </c>
      <c r="G43">
        <v>1000</v>
      </c>
    </row>
    <row r="44" spans="1:7" x14ac:dyDescent="0.25">
      <c r="A44" s="3">
        <v>45839</v>
      </c>
      <c r="B44" s="29">
        <v>1034</v>
      </c>
      <c r="C44" s="27">
        <v>14020</v>
      </c>
      <c r="D44">
        <v>40722</v>
      </c>
      <c r="E44" t="s">
        <v>55</v>
      </c>
      <c r="F44">
        <v>0</v>
      </c>
      <c r="G44">
        <v>5000</v>
      </c>
    </row>
    <row r="45" spans="1:7" x14ac:dyDescent="0.25">
      <c r="A45" s="3">
        <v>45870</v>
      </c>
      <c r="B45" s="29">
        <v>1034</v>
      </c>
      <c r="C45" s="27">
        <v>14020</v>
      </c>
      <c r="D45">
        <v>40722</v>
      </c>
      <c r="E45" t="s">
        <v>55</v>
      </c>
      <c r="F45">
        <v>0</v>
      </c>
      <c r="G45">
        <v>3000</v>
      </c>
    </row>
    <row r="46" spans="1:7" x14ac:dyDescent="0.25">
      <c r="A46" s="3">
        <v>45901</v>
      </c>
      <c r="B46" s="29">
        <v>1034</v>
      </c>
      <c r="C46" s="27">
        <v>14020</v>
      </c>
      <c r="D46">
        <v>40722</v>
      </c>
      <c r="E46" t="s">
        <v>55</v>
      </c>
      <c r="F46">
        <v>0</v>
      </c>
      <c r="G46">
        <v>7000</v>
      </c>
    </row>
    <row r="47" spans="1:7" x14ac:dyDescent="0.25">
      <c r="A47" s="3">
        <v>45931</v>
      </c>
      <c r="B47" s="29">
        <v>1034</v>
      </c>
      <c r="C47" s="27">
        <v>14020</v>
      </c>
      <c r="D47">
        <v>50102</v>
      </c>
      <c r="E47" t="s">
        <v>56</v>
      </c>
      <c r="F47">
        <v>2000</v>
      </c>
      <c r="G47">
        <v>0</v>
      </c>
    </row>
    <row r="48" spans="1:7" x14ac:dyDescent="0.25">
      <c r="A48" s="3">
        <v>45839</v>
      </c>
      <c r="B48" s="30">
        <v>1020</v>
      </c>
      <c r="C48" s="28">
        <v>13010</v>
      </c>
      <c r="D48">
        <v>40722</v>
      </c>
      <c r="E48" t="s">
        <v>55</v>
      </c>
      <c r="F48">
        <v>0</v>
      </c>
      <c r="G48">
        <v>3000</v>
      </c>
    </row>
    <row r="49" spans="1:7" x14ac:dyDescent="0.25">
      <c r="A49" s="3">
        <v>45870</v>
      </c>
      <c r="B49" s="30">
        <v>1020</v>
      </c>
      <c r="C49" s="28">
        <v>13010</v>
      </c>
      <c r="D49">
        <v>50102</v>
      </c>
      <c r="E49" t="s">
        <v>56</v>
      </c>
      <c r="F49">
        <v>5000</v>
      </c>
      <c r="G49">
        <v>0</v>
      </c>
    </row>
    <row r="50" spans="1:7" x14ac:dyDescent="0.25">
      <c r="A50" s="3">
        <v>45901</v>
      </c>
      <c r="B50" s="30">
        <v>1020</v>
      </c>
      <c r="C50" s="28">
        <v>13010</v>
      </c>
      <c r="D50">
        <v>50102</v>
      </c>
      <c r="E50" t="s">
        <v>56</v>
      </c>
      <c r="F50">
        <v>3000</v>
      </c>
      <c r="G50">
        <v>0</v>
      </c>
    </row>
    <row r="51" spans="1:7" x14ac:dyDescent="0.25">
      <c r="A51" s="3">
        <v>45931</v>
      </c>
      <c r="B51" s="30">
        <v>1020</v>
      </c>
      <c r="C51" s="28">
        <v>13010</v>
      </c>
      <c r="D51">
        <v>50102</v>
      </c>
      <c r="E51" t="s">
        <v>56</v>
      </c>
      <c r="F51">
        <v>1000</v>
      </c>
      <c r="G51">
        <v>0</v>
      </c>
    </row>
    <row r="56" spans="1:7" x14ac:dyDescent="0.25">
      <c r="A56" s="40"/>
    </row>
    <row r="57" spans="1:7" x14ac:dyDescent="0.25">
      <c r="A57" s="40"/>
    </row>
    <row r="58" spans="1:7" x14ac:dyDescent="0.25">
      <c r="A58" s="40"/>
    </row>
    <row r="59" spans="1:7" x14ac:dyDescent="0.25">
      <c r="A59" s="40"/>
    </row>
    <row r="60" spans="1:7" x14ac:dyDescent="0.25">
      <c r="A60" s="40"/>
    </row>
    <row r="61" spans="1:7" x14ac:dyDescent="0.25">
      <c r="A61" s="40"/>
    </row>
    <row r="62" spans="1:7" x14ac:dyDescent="0.25">
      <c r="A62" s="40"/>
    </row>
    <row r="63" spans="1:7" x14ac:dyDescent="0.25">
      <c r="A63" s="40"/>
    </row>
    <row r="64" spans="1:7" x14ac:dyDescent="0.25">
      <c r="A64" s="40"/>
    </row>
    <row r="65" spans="1:1" x14ac:dyDescent="0.25">
      <c r="A65" s="40"/>
    </row>
    <row r="66" spans="1:1" x14ac:dyDescent="0.25">
      <c r="A66" s="40"/>
    </row>
    <row r="67" spans="1:1" x14ac:dyDescent="0.25">
      <c r="A67" s="40"/>
    </row>
    <row r="68" spans="1:1" x14ac:dyDescent="0.25">
      <c r="A68" s="40"/>
    </row>
    <row r="69" spans="1:1" x14ac:dyDescent="0.25">
      <c r="A69" s="40"/>
    </row>
    <row r="70" spans="1:1" x14ac:dyDescent="0.25">
      <c r="A70" s="40"/>
    </row>
    <row r="71" spans="1:1" x14ac:dyDescent="0.25">
      <c r="A71" s="40"/>
    </row>
    <row r="72" spans="1:1" x14ac:dyDescent="0.25">
      <c r="A72" s="40"/>
    </row>
    <row r="73" spans="1:1" x14ac:dyDescent="0.25">
      <c r="A73" s="40"/>
    </row>
    <row r="74" spans="1:1" x14ac:dyDescent="0.25">
      <c r="A74" s="40"/>
    </row>
    <row r="75" spans="1:1" x14ac:dyDescent="0.25">
      <c r="A75" s="40"/>
    </row>
    <row r="76" spans="1:1" x14ac:dyDescent="0.25">
      <c r="A76" s="40"/>
    </row>
    <row r="77" spans="1:1" x14ac:dyDescent="0.25">
      <c r="A77" s="40"/>
    </row>
    <row r="78" spans="1:1" x14ac:dyDescent="0.25">
      <c r="A78" s="40"/>
    </row>
    <row r="79" spans="1:1" x14ac:dyDescent="0.25">
      <c r="A79" s="40"/>
    </row>
    <row r="80" spans="1:1" x14ac:dyDescent="0.25">
      <c r="A80" s="40"/>
    </row>
    <row r="81" spans="1:1" x14ac:dyDescent="0.25">
      <c r="A81" s="40"/>
    </row>
    <row r="82" spans="1:1" x14ac:dyDescent="0.25">
      <c r="A82" s="40"/>
    </row>
    <row r="83" spans="1:1" x14ac:dyDescent="0.25">
      <c r="A83" s="40"/>
    </row>
    <row r="84" spans="1:1" x14ac:dyDescent="0.25">
      <c r="A84" s="40"/>
    </row>
    <row r="85" spans="1:1" x14ac:dyDescent="0.25">
      <c r="A85" s="40"/>
    </row>
    <row r="86" spans="1:1" x14ac:dyDescent="0.25">
      <c r="A86" s="40"/>
    </row>
    <row r="87" spans="1:1" x14ac:dyDescent="0.25">
      <c r="A87" s="40"/>
    </row>
    <row r="88" spans="1:1" x14ac:dyDescent="0.25">
      <c r="A88" s="40"/>
    </row>
    <row r="89" spans="1:1" x14ac:dyDescent="0.25">
      <c r="A89" s="40"/>
    </row>
    <row r="90" spans="1:1" x14ac:dyDescent="0.25">
      <c r="A90" s="40"/>
    </row>
    <row r="91" spans="1:1" x14ac:dyDescent="0.25">
      <c r="A91" s="40"/>
    </row>
    <row r="92" spans="1:1" x14ac:dyDescent="0.25">
      <c r="A92" s="40"/>
    </row>
    <row r="93" spans="1:1" x14ac:dyDescent="0.25">
      <c r="A93" s="40"/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65A68A0-1977-4A65-AF9D-018A4FDD912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Implementation Plan</vt:lpstr>
      <vt:lpstr>General Ledger</vt:lpstr>
      <vt:lpstr>Bank Statement</vt:lpstr>
      <vt:lpstr>Staff List</vt:lpstr>
      <vt:lpstr>Calcs</vt:lpstr>
      <vt:lpstr>Journal</vt:lpstr>
      <vt:lpstr>Claude Log</vt:lpstr>
      <vt:lpstr>Calcs_Original</vt:lpstr>
      <vt:lpstr>Journal_Original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Rishi Sapra</dc:creator>
  <cp:keywords/>
  <dc:description/>
  <cp:lastModifiedBy>Rishi Sapra</cp:lastModifiedBy>
  <cp:revision/>
  <dcterms:created xsi:type="dcterms:W3CDTF">2026-01-03T22:06:29Z</dcterms:created>
  <dcterms:modified xsi:type="dcterms:W3CDTF">2026-06-01T21:25:07Z</dcterms:modified>
  <cp:category/>
  <cp:contentStatus/>
</cp:coreProperties>
</file>